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095" windowHeight="12375"/>
  </bookViews>
  <sheets>
    <sheet name="各专业总名单" sheetId="13" r:id="rId1"/>
  </sheets>
  <calcPr calcId="124519"/>
</workbook>
</file>

<file path=xl/calcChain.xml><?xml version="1.0" encoding="utf-8"?>
<calcChain xmlns="http://schemas.openxmlformats.org/spreadsheetml/2006/main">
  <c r="O38" i="13"/>
  <c r="O39"/>
  <c r="O40"/>
  <c r="O41"/>
  <c r="O42"/>
  <c r="O43"/>
  <c r="O44"/>
  <c r="O45"/>
  <c r="O46"/>
  <c r="O47"/>
  <c r="O48"/>
  <c r="O49"/>
  <c r="O50"/>
  <c r="O51"/>
  <c r="O52"/>
  <c r="O53"/>
  <c r="O54"/>
  <c r="N9"/>
  <c r="N10"/>
  <c r="N11"/>
  <c r="N12"/>
  <c r="N13"/>
  <c r="N14"/>
  <c r="N15"/>
  <c r="O10"/>
  <c r="O12"/>
  <c r="O14"/>
  <c r="O5"/>
  <c r="O6"/>
  <c r="O7"/>
  <c r="O8"/>
  <c r="O9"/>
  <c r="O13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2"/>
  <c r="O3"/>
  <c r="M54"/>
  <c r="L54"/>
  <c r="K54"/>
  <c r="M53"/>
  <c r="L53"/>
  <c r="K53"/>
  <c r="M46"/>
  <c r="L46"/>
  <c r="K46"/>
  <c r="M45"/>
  <c r="L45"/>
  <c r="K45"/>
  <c r="M44"/>
  <c r="L44"/>
  <c r="K44"/>
  <c r="M43"/>
  <c r="L43"/>
  <c r="K43"/>
  <c r="M42"/>
  <c r="L42"/>
  <c r="K42"/>
  <c r="M41"/>
  <c r="L41"/>
  <c r="K41"/>
  <c r="M40"/>
  <c r="L40"/>
  <c r="K40"/>
  <c r="M39"/>
  <c r="L39"/>
  <c r="K39"/>
  <c r="M38"/>
  <c r="L38"/>
  <c r="K38"/>
  <c r="M37"/>
  <c r="L37"/>
  <c r="K37"/>
  <c r="K36"/>
  <c r="M35"/>
  <c r="L35"/>
  <c r="K35"/>
  <c r="M34"/>
  <c r="L34"/>
  <c r="K34"/>
  <c r="M33"/>
  <c r="L33"/>
  <c r="K33"/>
  <c r="M32"/>
  <c r="L32"/>
  <c r="K32"/>
  <c r="M31"/>
  <c r="L31"/>
  <c r="K31"/>
  <c r="M30"/>
  <c r="L30"/>
  <c r="K30"/>
  <c r="M29"/>
  <c r="L29"/>
  <c r="K29"/>
  <c r="M28"/>
  <c r="L28"/>
  <c r="K28"/>
  <c r="K52"/>
  <c r="K27"/>
  <c r="K26"/>
  <c r="K25"/>
  <c r="K24"/>
  <c r="K23"/>
  <c r="K22"/>
  <c r="K21"/>
  <c r="K20"/>
  <c r="M19"/>
  <c r="L19"/>
  <c r="K19"/>
  <c r="M18"/>
  <c r="L18"/>
  <c r="K18"/>
  <c r="K17"/>
  <c r="M51"/>
  <c r="N51" s="1"/>
  <c r="K51"/>
  <c r="M50"/>
  <c r="N50" s="1"/>
  <c r="K50"/>
  <c r="M49"/>
  <c r="N49" s="1"/>
  <c r="K49"/>
  <c r="M48"/>
  <c r="N48" s="1"/>
  <c r="K48"/>
  <c r="M47"/>
  <c r="N47" s="1"/>
  <c r="K47"/>
  <c r="K16"/>
  <c r="M15"/>
  <c r="K15"/>
  <c r="M14"/>
  <c r="K14"/>
  <c r="M13"/>
  <c r="K13"/>
  <c r="M12"/>
  <c r="K12"/>
  <c r="M11"/>
  <c r="K11"/>
  <c r="M10"/>
  <c r="K10"/>
  <c r="M9"/>
  <c r="K9"/>
  <c r="K8"/>
  <c r="K7"/>
  <c r="K6"/>
  <c r="K5"/>
  <c r="K4"/>
  <c r="O4" s="1"/>
  <c r="K3"/>
  <c r="K2"/>
  <c r="N18" l="1"/>
  <c r="N29"/>
  <c r="N31"/>
  <c r="N33"/>
  <c r="N35"/>
  <c r="N37"/>
  <c r="N39"/>
  <c r="N41"/>
  <c r="N43"/>
  <c r="N45"/>
  <c r="N53"/>
  <c r="N19"/>
  <c r="N28"/>
  <c r="N30"/>
  <c r="N32"/>
  <c r="N34"/>
  <c r="N38"/>
  <c r="N40"/>
  <c r="N42"/>
  <c r="N44"/>
  <c r="N46"/>
  <c r="N54"/>
</calcChain>
</file>

<file path=xl/sharedStrings.xml><?xml version="1.0" encoding="utf-8"?>
<sst xmlns="http://schemas.openxmlformats.org/spreadsheetml/2006/main" count="483" uniqueCount="288">
  <si>
    <t>姓名</t>
  </si>
  <si>
    <t>考生编号</t>
  </si>
  <si>
    <t>毕业单位</t>
  </si>
  <si>
    <t>初试总分</t>
  </si>
  <si>
    <t>汪洋</t>
  </si>
  <si>
    <t>马哲</t>
  </si>
  <si>
    <t>104866113015241</t>
  </si>
  <si>
    <t>江西师范大学</t>
  </si>
  <si>
    <t>73</t>
  </si>
  <si>
    <t>75</t>
  </si>
  <si>
    <t>134</t>
  </si>
  <si>
    <t>136</t>
  </si>
  <si>
    <t>418</t>
  </si>
  <si>
    <t>丁铭</t>
  </si>
  <si>
    <t>中哲</t>
  </si>
  <si>
    <t>104866113015255</t>
  </si>
  <si>
    <t>西南政法大学</t>
  </si>
  <si>
    <t>80</t>
  </si>
  <si>
    <t>68</t>
  </si>
  <si>
    <t>131</t>
  </si>
  <si>
    <t>140</t>
  </si>
  <si>
    <t>419</t>
  </si>
  <si>
    <t>韩颖</t>
  </si>
  <si>
    <t>104866113015259</t>
  </si>
  <si>
    <t>66</t>
  </si>
  <si>
    <t>77</t>
  </si>
  <si>
    <t>138</t>
  </si>
  <si>
    <t>417</t>
  </si>
  <si>
    <t>王明</t>
  </si>
  <si>
    <t>104866113015266</t>
  </si>
  <si>
    <t>河南师范大学</t>
  </si>
  <si>
    <t>60</t>
  </si>
  <si>
    <t>132</t>
  </si>
  <si>
    <t>144</t>
  </si>
  <si>
    <t>413</t>
  </si>
  <si>
    <t>呼国平</t>
  </si>
  <si>
    <t>104866113015265</t>
  </si>
  <si>
    <t>58</t>
  </si>
  <si>
    <t>72</t>
  </si>
  <si>
    <t>142</t>
  </si>
  <si>
    <t>406</t>
  </si>
  <si>
    <t>洪明超</t>
  </si>
  <si>
    <t>104866113015258</t>
  </si>
  <si>
    <t>福建师范大学</t>
  </si>
  <si>
    <t>59</t>
  </si>
  <si>
    <t>123</t>
  </si>
  <si>
    <t>149</t>
  </si>
  <si>
    <t>403</t>
  </si>
  <si>
    <t>叶宇</t>
  </si>
  <si>
    <t>104866113015257</t>
  </si>
  <si>
    <t>闽江学院</t>
  </si>
  <si>
    <t>70</t>
  </si>
  <si>
    <t>126</t>
  </si>
  <si>
    <t>135</t>
  </si>
  <si>
    <t>张瑞杰</t>
  </si>
  <si>
    <t>104866113015251</t>
  </si>
  <si>
    <t>山西大学</t>
  </si>
  <si>
    <t>65</t>
  </si>
  <si>
    <t>130</t>
  </si>
  <si>
    <t>范根生</t>
  </si>
  <si>
    <t>104866113015273</t>
  </si>
  <si>
    <t>62</t>
  </si>
  <si>
    <t>399</t>
  </si>
  <si>
    <t>桂文静</t>
  </si>
  <si>
    <t>104866113015269</t>
  </si>
  <si>
    <t>湖北师范学院</t>
  </si>
  <si>
    <t>67</t>
  </si>
  <si>
    <t>129</t>
  </si>
  <si>
    <t>崔亮亮</t>
  </si>
  <si>
    <t>104866113015281</t>
  </si>
  <si>
    <t>西北政法大学</t>
  </si>
  <si>
    <t>128</t>
  </si>
  <si>
    <t>390</t>
  </si>
  <si>
    <t>罗佳</t>
  </si>
  <si>
    <t>104866113005764</t>
  </si>
  <si>
    <t>中南林业科技大学涉外学院</t>
  </si>
  <si>
    <t>69</t>
  </si>
  <si>
    <t>118</t>
  </si>
  <si>
    <t>137</t>
  </si>
  <si>
    <t>386</t>
  </si>
  <si>
    <t>卫红梅</t>
  </si>
  <si>
    <t>104866113015252</t>
  </si>
  <si>
    <t>哈尔滨师范大学</t>
  </si>
  <si>
    <t>125</t>
  </si>
  <si>
    <t>127</t>
  </si>
  <si>
    <t>385</t>
  </si>
  <si>
    <t>卢斌典</t>
  </si>
  <si>
    <t>104866113015263</t>
  </si>
  <si>
    <t>曲阜师范大学</t>
  </si>
  <si>
    <t>384</t>
  </si>
  <si>
    <t>杨婵</t>
  </si>
  <si>
    <t>104866113005754</t>
  </si>
  <si>
    <t>湖北大学</t>
  </si>
  <si>
    <t>74</t>
  </si>
  <si>
    <t>117</t>
  </si>
  <si>
    <t>382</t>
  </si>
  <si>
    <t>黄婷婷</t>
  </si>
  <si>
    <t>外哲</t>
  </si>
  <si>
    <t>104866113015296</t>
  </si>
  <si>
    <t>147</t>
  </si>
  <si>
    <t>424</t>
  </si>
  <si>
    <t>陈晨</t>
  </si>
  <si>
    <t>104866113015287</t>
  </si>
  <si>
    <t>安徽理工大学</t>
  </si>
  <si>
    <t>63</t>
  </si>
  <si>
    <t>393</t>
  </si>
  <si>
    <t>吴江玲</t>
  </si>
  <si>
    <t>美学</t>
  </si>
  <si>
    <t>104866113015316</t>
  </si>
  <si>
    <t>岭南师范学院</t>
  </si>
  <si>
    <t>71</t>
  </si>
  <si>
    <t>64</t>
  </si>
  <si>
    <t>145</t>
  </si>
  <si>
    <t>422</t>
  </si>
  <si>
    <t>左漪漪</t>
  </si>
  <si>
    <t>104866113005775</t>
  </si>
  <si>
    <t>湖北美术学院</t>
  </si>
  <si>
    <t>411</t>
  </si>
  <si>
    <t>石梦霞</t>
  </si>
  <si>
    <t>104866113015315</t>
  </si>
  <si>
    <t>141</t>
  </si>
  <si>
    <t>121</t>
  </si>
  <si>
    <t>胡文</t>
  </si>
  <si>
    <t>104866113015311</t>
  </si>
  <si>
    <t>东北大学</t>
  </si>
  <si>
    <t>116</t>
  </si>
  <si>
    <t>389</t>
  </si>
  <si>
    <t>彭柏林</t>
  </si>
  <si>
    <t>104866113005785</t>
  </si>
  <si>
    <t>中南财经政法大学</t>
  </si>
  <si>
    <t>133</t>
  </si>
  <si>
    <t>陆泽杰</t>
  </si>
  <si>
    <t>104866113015320</t>
  </si>
  <si>
    <t>三峡大学</t>
  </si>
  <si>
    <t>410</t>
  </si>
  <si>
    <t>覃俊辉</t>
  </si>
  <si>
    <t>104866113005788</t>
  </si>
  <si>
    <t>武汉大学</t>
  </si>
  <si>
    <t>81</t>
  </si>
  <si>
    <t>124</t>
  </si>
  <si>
    <t>肖存远</t>
  </si>
  <si>
    <t>104866113005781</t>
  </si>
  <si>
    <t>115</t>
  </si>
  <si>
    <t>397</t>
  </si>
  <si>
    <t>汪恺</t>
  </si>
  <si>
    <t>国学</t>
  </si>
  <si>
    <t>104866113015327</t>
  </si>
  <si>
    <t>华侨大学</t>
  </si>
  <si>
    <t>76</t>
  </si>
  <si>
    <t>洪利民</t>
  </si>
  <si>
    <t>104866113005791</t>
  </si>
  <si>
    <t>武汉科技大学</t>
  </si>
  <si>
    <t>杨帆</t>
  </si>
  <si>
    <t>基础心理学</t>
  </si>
  <si>
    <t>104866113005795</t>
  </si>
  <si>
    <t>211</t>
  </si>
  <si>
    <t>0</t>
  </si>
  <si>
    <t>346</t>
  </si>
  <si>
    <t>揭礼杰</t>
  </si>
  <si>
    <t>应用心理学</t>
  </si>
  <si>
    <t>104866113015390</t>
  </si>
  <si>
    <t>南京工业大学</t>
  </si>
  <si>
    <t>241</t>
  </si>
  <si>
    <t>383</t>
  </si>
  <si>
    <t>赵颖</t>
  </si>
  <si>
    <t>104866113015427</t>
  </si>
  <si>
    <t>河南中医学院</t>
  </si>
  <si>
    <t>232</t>
  </si>
  <si>
    <t>380</t>
  </si>
  <si>
    <t>李伟</t>
  </si>
  <si>
    <t>104866113015432</t>
  </si>
  <si>
    <t>湖北民族学院</t>
  </si>
  <si>
    <t>223</t>
  </si>
  <si>
    <t>376</t>
  </si>
  <si>
    <t>邓鑫</t>
  </si>
  <si>
    <t>104866113015369</t>
  </si>
  <si>
    <t>华中农业大学</t>
  </si>
  <si>
    <t>224</t>
  </si>
  <si>
    <t>362</t>
  </si>
  <si>
    <t>钟声言</t>
  </si>
  <si>
    <t>104866113015461</t>
  </si>
  <si>
    <t>青海民族大学</t>
  </si>
  <si>
    <t>225</t>
  </si>
  <si>
    <t>357</t>
  </si>
  <si>
    <t>刘媛媛</t>
  </si>
  <si>
    <t>104866113005830</t>
  </si>
  <si>
    <t>赵雪晴</t>
  </si>
  <si>
    <t>104866113015377</t>
  </si>
  <si>
    <t>215</t>
  </si>
  <si>
    <t>353</t>
  </si>
  <si>
    <t>杨晓敏</t>
  </si>
  <si>
    <t>104866113015459</t>
  </si>
  <si>
    <t>兰州大学</t>
  </si>
  <si>
    <t>202</t>
  </si>
  <si>
    <t>350</t>
  </si>
  <si>
    <t>朱忆莲</t>
  </si>
  <si>
    <t>104866113005818</t>
  </si>
  <si>
    <t>78</t>
  </si>
  <si>
    <t>207</t>
  </si>
  <si>
    <t>348</t>
  </si>
  <si>
    <t>周珏</t>
  </si>
  <si>
    <t>104866113015406</t>
  </si>
  <si>
    <t>哈尔滨工程大学</t>
  </si>
  <si>
    <t>210</t>
  </si>
  <si>
    <t>347</t>
  </si>
  <si>
    <t>张彤</t>
  </si>
  <si>
    <t>104866113015376</t>
  </si>
  <si>
    <t>河北金融学院</t>
  </si>
  <si>
    <t>209</t>
  </si>
  <si>
    <t>序号</t>
  </si>
  <si>
    <t>外语</t>
  </si>
  <si>
    <t>政治</t>
  </si>
  <si>
    <t>外语听力及口语</t>
  </si>
  <si>
    <t>复试总评成绩</t>
  </si>
  <si>
    <t>入学总评成绩</t>
  </si>
  <si>
    <t>初试成绩（百分制）</t>
  </si>
  <si>
    <t>任怡琳</t>
  </si>
  <si>
    <t>104866113015247</t>
  </si>
  <si>
    <t>陕西师范大学</t>
  </si>
  <si>
    <t>李瑶</t>
  </si>
  <si>
    <t>104866113015246</t>
  </si>
  <si>
    <t>黄鹭琦</t>
  </si>
  <si>
    <t>104866113015238</t>
  </si>
  <si>
    <t>彭澧</t>
  </si>
  <si>
    <t>104866113005745</t>
  </si>
  <si>
    <t>南楠</t>
  </si>
  <si>
    <t>104866113015245</t>
  </si>
  <si>
    <t>四川大学</t>
  </si>
  <si>
    <t>王晓玲</t>
  </si>
  <si>
    <t>104866113015256</t>
  </si>
  <si>
    <t>安徽大学</t>
  </si>
  <si>
    <t>马克</t>
  </si>
  <si>
    <t>104866113015253</t>
  </si>
  <si>
    <t>东南大学</t>
  </si>
  <si>
    <t>崔明扬</t>
  </si>
  <si>
    <t>104866113015282</t>
  </si>
  <si>
    <t>李星</t>
  </si>
  <si>
    <t>104866113015290</t>
  </si>
  <si>
    <t>郑州大学</t>
  </si>
  <si>
    <t>冯敏</t>
  </si>
  <si>
    <t>104866113015284</t>
  </si>
  <si>
    <t>郑文搏</t>
  </si>
  <si>
    <t>104866113015291</t>
  </si>
  <si>
    <t>张愉</t>
  </si>
  <si>
    <t>104866113015298</t>
  </si>
  <si>
    <t>湖南师范大学</t>
  </si>
  <si>
    <t>张梦芹</t>
  </si>
  <si>
    <t>104866113005766</t>
  </si>
  <si>
    <t>华中师范大学</t>
  </si>
  <si>
    <t>宗教学</t>
  </si>
  <si>
    <t>吉维维</t>
  </si>
  <si>
    <t>科哲</t>
  </si>
  <si>
    <t>104866113015321</t>
  </si>
  <si>
    <t>西南大学</t>
  </si>
  <si>
    <t>备注1</t>
    <phoneticPr fontId="8" type="noConversion"/>
  </si>
  <si>
    <t>备注2</t>
    <phoneticPr fontId="8" type="noConversion"/>
  </si>
  <si>
    <t>专业面试</t>
    <phoneticPr fontId="8" type="noConversion"/>
  </si>
  <si>
    <t>业务课1</t>
  </si>
  <si>
    <t>业务课2</t>
  </si>
  <si>
    <t>报考专业</t>
    <phoneticPr fontId="8" type="noConversion"/>
  </si>
  <si>
    <t>拟录取</t>
    <phoneticPr fontId="8" type="noConversion"/>
  </si>
  <si>
    <t>夏令营优秀营员</t>
    <phoneticPr fontId="8" type="noConversion"/>
  </si>
  <si>
    <t>拟录取</t>
    <phoneticPr fontId="8" type="noConversion"/>
  </si>
  <si>
    <t>夏令营优秀营员</t>
    <phoneticPr fontId="8" type="noConversion"/>
  </si>
  <si>
    <t>拟录取</t>
    <phoneticPr fontId="8" type="noConversion"/>
  </si>
  <si>
    <t>夏令营优秀营员</t>
    <phoneticPr fontId="8" type="noConversion"/>
  </si>
  <si>
    <t>拟录取</t>
    <phoneticPr fontId="8" type="noConversion"/>
  </si>
  <si>
    <t>拟录取</t>
    <phoneticPr fontId="8" type="noConversion"/>
  </si>
  <si>
    <t>拟录取</t>
    <phoneticPr fontId="8" type="noConversion"/>
  </si>
  <si>
    <t>拟录取</t>
    <phoneticPr fontId="8" type="noConversion"/>
  </si>
  <si>
    <t>拟录取</t>
    <phoneticPr fontId="8" type="noConversion"/>
  </si>
  <si>
    <t>夏令营优秀营员</t>
    <phoneticPr fontId="8" type="noConversion"/>
  </si>
  <si>
    <t>夏令营优秀营员</t>
    <phoneticPr fontId="8" type="noConversion"/>
  </si>
  <si>
    <t>拟录取</t>
    <phoneticPr fontId="8" type="noConversion"/>
  </si>
  <si>
    <t>拟录取</t>
    <phoneticPr fontId="8" type="noConversion"/>
  </si>
  <si>
    <t>夏令营优秀营员</t>
    <phoneticPr fontId="8" type="noConversion"/>
  </si>
  <si>
    <t>夏令营优秀营员</t>
    <phoneticPr fontId="8" type="noConversion"/>
  </si>
  <si>
    <t>拟录取</t>
    <phoneticPr fontId="8" type="noConversion"/>
  </si>
  <si>
    <t>夏令营优秀营员</t>
    <phoneticPr fontId="8" type="noConversion"/>
  </si>
  <si>
    <t>拟录取</t>
    <phoneticPr fontId="8" type="noConversion"/>
  </si>
  <si>
    <t>拟录取</t>
    <phoneticPr fontId="8" type="noConversion"/>
  </si>
  <si>
    <t>拟录取</t>
    <phoneticPr fontId="8" type="noConversion"/>
  </si>
  <si>
    <t>拟录取</t>
    <phoneticPr fontId="8" type="noConversion"/>
  </si>
  <si>
    <t>夏令营优秀营员</t>
    <phoneticPr fontId="8" type="noConversion"/>
  </si>
  <si>
    <t>拟录取</t>
    <phoneticPr fontId="8" type="noConversion"/>
  </si>
  <si>
    <t>武汉东湖学院</t>
    <phoneticPr fontId="8" type="noConversion"/>
  </si>
  <si>
    <t>河北民族师范学院</t>
    <phoneticPr fontId="8" type="noConversion"/>
  </si>
  <si>
    <t>由中哲调剂</t>
    <phoneticPr fontId="8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</si>
</sst>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.00_ "/>
    <numFmt numFmtId="178" formatCode="0.00_);[Red]\(0.00\)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1" xfId="7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8" fontId="3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4" fillId="0" borderId="1" xfId="7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1" xfId="5" applyNumberFormat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0">
    <cellStyle name="常规" xfId="0" builtinId="0"/>
    <cellStyle name="常规 10" xfId="4"/>
    <cellStyle name="常规 2" xfId="5"/>
    <cellStyle name="常规 3" xfId="6"/>
    <cellStyle name="常规 4" xfId="7"/>
    <cellStyle name="常规 5" xfId="8"/>
    <cellStyle name="常规 6" xfId="1"/>
    <cellStyle name="常规 7" xfId="9"/>
    <cellStyle name="常规 8" xfId="2"/>
    <cellStyle name="常规 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4"/>
  <sheetViews>
    <sheetView tabSelected="1" workbookViewId="0">
      <selection activeCell="N34" sqref="N34"/>
    </sheetView>
  </sheetViews>
  <sheetFormatPr defaultColWidth="9" defaultRowHeight="14.25"/>
  <cols>
    <col min="1" max="1" width="4" style="2" customWidth="1"/>
    <col min="2" max="2" width="6.125" style="3" customWidth="1"/>
    <col min="3" max="3" width="8.25" style="3" customWidth="1"/>
    <col min="4" max="4" width="16.375" customWidth="1"/>
    <col min="5" max="5" width="15.625" style="4" customWidth="1"/>
    <col min="6" max="6" width="5.125" style="5" customWidth="1"/>
    <col min="7" max="7" width="5" style="5" customWidth="1"/>
    <col min="8" max="8" width="6.625" style="5" customWidth="1"/>
    <col min="9" max="9" width="6.375" style="5" customWidth="1"/>
    <col min="10" max="10" width="5.625" style="5" customWidth="1"/>
    <col min="11" max="11" width="7.375" style="6" customWidth="1"/>
    <col min="12" max="12" width="6.25" style="7" customWidth="1"/>
    <col min="13" max="13" width="7" style="7" customWidth="1"/>
    <col min="14" max="14" width="6.125" style="7" customWidth="1"/>
    <col min="15" max="15" width="7.5" style="11" customWidth="1"/>
    <col min="16" max="16" width="16.125" customWidth="1"/>
    <col min="17" max="17" width="7.625" customWidth="1"/>
  </cols>
  <sheetData>
    <row r="1" spans="1:17" s="10" customFormat="1" ht="42" customHeight="1">
      <c r="A1" s="12" t="s">
        <v>209</v>
      </c>
      <c r="B1" s="12" t="s">
        <v>0</v>
      </c>
      <c r="C1" s="12" t="s">
        <v>259</v>
      </c>
      <c r="D1" s="12" t="s">
        <v>1</v>
      </c>
      <c r="E1" s="12" t="s">
        <v>2</v>
      </c>
      <c r="F1" s="13" t="s">
        <v>210</v>
      </c>
      <c r="G1" s="13" t="s">
        <v>211</v>
      </c>
      <c r="H1" s="14" t="s">
        <v>257</v>
      </c>
      <c r="I1" s="14" t="s">
        <v>258</v>
      </c>
      <c r="J1" s="15" t="s">
        <v>3</v>
      </c>
      <c r="K1" s="15" t="s">
        <v>215</v>
      </c>
      <c r="L1" s="16" t="s">
        <v>212</v>
      </c>
      <c r="M1" s="16" t="s">
        <v>256</v>
      </c>
      <c r="N1" s="16" t="s">
        <v>213</v>
      </c>
      <c r="O1" s="17" t="s">
        <v>214</v>
      </c>
      <c r="P1" s="12" t="s">
        <v>254</v>
      </c>
      <c r="Q1" s="12" t="s">
        <v>255</v>
      </c>
    </row>
    <row r="2" spans="1:17" ht="20.100000000000001" customHeight="1">
      <c r="A2" s="12">
        <v>1</v>
      </c>
      <c r="B2" s="12" t="s">
        <v>4</v>
      </c>
      <c r="C2" s="12" t="s">
        <v>5</v>
      </c>
      <c r="D2" s="12" t="s">
        <v>6</v>
      </c>
      <c r="E2" s="12" t="s">
        <v>7</v>
      </c>
      <c r="F2" s="12" t="s">
        <v>8</v>
      </c>
      <c r="G2" s="12" t="s">
        <v>9</v>
      </c>
      <c r="H2" s="12" t="s">
        <v>10</v>
      </c>
      <c r="I2" s="12" t="s">
        <v>11</v>
      </c>
      <c r="J2" s="12" t="s">
        <v>12</v>
      </c>
      <c r="K2" s="12">
        <f t="shared" ref="K2:K15" si="0">J2/5</f>
        <v>83.6</v>
      </c>
      <c r="L2" s="18">
        <v>91.3333333333333</v>
      </c>
      <c r="M2" s="18">
        <v>90.6666666666667</v>
      </c>
      <c r="N2" s="18">
        <v>90.933333333333294</v>
      </c>
      <c r="O2" s="19">
        <f t="shared" ref="O2:O54" si="1">K2*0.6+N2*0.4</f>
        <v>86.533333333333317</v>
      </c>
      <c r="P2" s="12"/>
      <c r="Q2" s="12" t="s">
        <v>260</v>
      </c>
    </row>
    <row r="3" spans="1:17" ht="20.100000000000001" customHeight="1">
      <c r="A3" s="12">
        <v>2</v>
      </c>
      <c r="B3" s="12" t="s">
        <v>216</v>
      </c>
      <c r="C3" s="12" t="s">
        <v>5</v>
      </c>
      <c r="D3" s="12" t="s">
        <v>217</v>
      </c>
      <c r="E3" s="12" t="s">
        <v>218</v>
      </c>
      <c r="F3" s="12">
        <v>65</v>
      </c>
      <c r="G3" s="12">
        <v>70</v>
      </c>
      <c r="H3" s="12">
        <v>142</v>
      </c>
      <c r="I3" s="12">
        <v>126</v>
      </c>
      <c r="J3" s="12">
        <v>403</v>
      </c>
      <c r="K3" s="12">
        <f t="shared" si="0"/>
        <v>80.599999999999994</v>
      </c>
      <c r="L3" s="12"/>
      <c r="M3" s="12"/>
      <c r="N3" s="20">
        <v>84.28</v>
      </c>
      <c r="O3" s="19">
        <f t="shared" si="1"/>
        <v>82.072000000000003</v>
      </c>
      <c r="P3" s="21" t="s">
        <v>261</v>
      </c>
      <c r="Q3" s="12" t="s">
        <v>262</v>
      </c>
    </row>
    <row r="4" spans="1:17" ht="20.100000000000001" customHeight="1">
      <c r="A4" s="12">
        <v>3</v>
      </c>
      <c r="B4" s="12" t="s">
        <v>219</v>
      </c>
      <c r="C4" s="12" t="s">
        <v>5</v>
      </c>
      <c r="D4" s="12" t="s">
        <v>220</v>
      </c>
      <c r="E4" s="12" t="s">
        <v>218</v>
      </c>
      <c r="F4" s="12">
        <v>58</v>
      </c>
      <c r="G4" s="12">
        <v>70</v>
      </c>
      <c r="H4" s="12">
        <v>113</v>
      </c>
      <c r="I4" s="12">
        <v>136</v>
      </c>
      <c r="J4" s="12">
        <v>377</v>
      </c>
      <c r="K4" s="12">
        <f t="shared" si="0"/>
        <v>75.400000000000006</v>
      </c>
      <c r="L4" s="12"/>
      <c r="M4" s="12"/>
      <c r="N4" s="20">
        <v>83.42</v>
      </c>
      <c r="O4" s="19">
        <f t="shared" si="1"/>
        <v>78.608000000000004</v>
      </c>
      <c r="P4" s="21" t="s">
        <v>261</v>
      </c>
      <c r="Q4" s="12" t="s">
        <v>262</v>
      </c>
    </row>
    <row r="5" spans="1:17" ht="20.100000000000001" customHeight="1">
      <c r="A5" s="12">
        <v>4</v>
      </c>
      <c r="B5" s="12" t="s">
        <v>221</v>
      </c>
      <c r="C5" s="12" t="s">
        <v>5</v>
      </c>
      <c r="D5" s="12" t="s">
        <v>222</v>
      </c>
      <c r="E5" s="12" t="s">
        <v>124</v>
      </c>
      <c r="F5" s="12">
        <v>71</v>
      </c>
      <c r="G5" s="12">
        <v>69</v>
      </c>
      <c r="H5" s="12">
        <v>114</v>
      </c>
      <c r="I5" s="12">
        <v>125</v>
      </c>
      <c r="J5" s="12">
        <v>379</v>
      </c>
      <c r="K5" s="12">
        <f t="shared" si="0"/>
        <v>75.8</v>
      </c>
      <c r="L5" s="12"/>
      <c r="M5" s="12"/>
      <c r="N5" s="18">
        <v>79.400000000000006</v>
      </c>
      <c r="O5" s="19">
        <f t="shared" si="1"/>
        <v>77.240000000000009</v>
      </c>
      <c r="P5" s="21" t="s">
        <v>263</v>
      </c>
      <c r="Q5" s="12" t="s">
        <v>264</v>
      </c>
    </row>
    <row r="6" spans="1:17" ht="20.100000000000001" customHeight="1">
      <c r="A6" s="12">
        <v>5</v>
      </c>
      <c r="B6" s="12" t="s">
        <v>223</v>
      </c>
      <c r="C6" s="12" t="s">
        <v>5</v>
      </c>
      <c r="D6" s="12" t="s">
        <v>224</v>
      </c>
      <c r="E6" s="12" t="s">
        <v>129</v>
      </c>
      <c r="F6" s="12">
        <v>72</v>
      </c>
      <c r="G6" s="12">
        <v>63</v>
      </c>
      <c r="H6" s="12">
        <v>102</v>
      </c>
      <c r="I6" s="12">
        <v>109</v>
      </c>
      <c r="J6" s="12">
        <v>346</v>
      </c>
      <c r="K6" s="12">
        <f t="shared" si="0"/>
        <v>69.2</v>
      </c>
      <c r="L6" s="12"/>
      <c r="M6" s="12"/>
      <c r="N6" s="20">
        <v>78.87</v>
      </c>
      <c r="O6" s="19">
        <f t="shared" si="1"/>
        <v>73.068000000000012</v>
      </c>
      <c r="P6" s="21" t="s">
        <v>263</v>
      </c>
      <c r="Q6" s="12" t="s">
        <v>264</v>
      </c>
    </row>
    <row r="7" spans="1:17" ht="20.100000000000001" customHeight="1">
      <c r="A7" s="12">
        <v>6</v>
      </c>
      <c r="B7" s="12" t="s">
        <v>225</v>
      </c>
      <c r="C7" s="12" t="s">
        <v>5</v>
      </c>
      <c r="D7" s="12" t="s">
        <v>226</v>
      </c>
      <c r="E7" s="12" t="s">
        <v>227</v>
      </c>
      <c r="F7" s="12">
        <v>61</v>
      </c>
      <c r="G7" s="12">
        <v>60</v>
      </c>
      <c r="H7" s="12">
        <v>97</v>
      </c>
      <c r="I7" s="12">
        <v>98</v>
      </c>
      <c r="J7" s="12">
        <v>316</v>
      </c>
      <c r="K7" s="12">
        <f t="shared" si="0"/>
        <v>63.2</v>
      </c>
      <c r="L7" s="12"/>
      <c r="M7" s="12"/>
      <c r="N7" s="18">
        <v>79.599999999999994</v>
      </c>
      <c r="O7" s="19">
        <f t="shared" si="1"/>
        <v>69.760000000000005</v>
      </c>
      <c r="P7" s="21" t="s">
        <v>263</v>
      </c>
      <c r="Q7" s="12" t="s">
        <v>264</v>
      </c>
    </row>
    <row r="8" spans="1:17" ht="20.100000000000001" customHeight="1">
      <c r="A8" s="12">
        <v>7</v>
      </c>
      <c r="B8" s="12" t="s">
        <v>228</v>
      </c>
      <c r="C8" s="22" t="s">
        <v>14</v>
      </c>
      <c r="D8" s="12" t="s">
        <v>229</v>
      </c>
      <c r="E8" s="12" t="s">
        <v>230</v>
      </c>
      <c r="F8" s="12">
        <v>71</v>
      </c>
      <c r="G8" s="12">
        <v>74</v>
      </c>
      <c r="H8" s="12">
        <v>140</v>
      </c>
      <c r="I8" s="12">
        <v>136</v>
      </c>
      <c r="J8" s="12">
        <v>421</v>
      </c>
      <c r="K8" s="12">
        <f t="shared" si="0"/>
        <v>84.2</v>
      </c>
      <c r="L8" s="12"/>
      <c r="M8" s="12"/>
      <c r="N8" s="21">
        <v>88.28</v>
      </c>
      <c r="O8" s="19">
        <f t="shared" si="1"/>
        <v>85.832000000000008</v>
      </c>
      <c r="P8" s="21" t="s">
        <v>265</v>
      </c>
      <c r="Q8" s="12" t="s">
        <v>266</v>
      </c>
    </row>
    <row r="9" spans="1:17" ht="20.100000000000001" customHeight="1">
      <c r="A9" s="12">
        <v>8</v>
      </c>
      <c r="B9" s="12" t="s">
        <v>13</v>
      </c>
      <c r="C9" s="22" t="s">
        <v>14</v>
      </c>
      <c r="D9" s="12" t="s">
        <v>15</v>
      </c>
      <c r="E9" s="12" t="s">
        <v>16</v>
      </c>
      <c r="F9" s="12" t="s">
        <v>17</v>
      </c>
      <c r="G9" s="12" t="s">
        <v>18</v>
      </c>
      <c r="H9" s="12" t="s">
        <v>19</v>
      </c>
      <c r="I9" s="12" t="s">
        <v>20</v>
      </c>
      <c r="J9" s="12" t="s">
        <v>21</v>
      </c>
      <c r="K9" s="12">
        <f t="shared" si="0"/>
        <v>83.8</v>
      </c>
      <c r="L9" s="23">
        <v>93</v>
      </c>
      <c r="M9" s="23">
        <f>(82+82+81)/3</f>
        <v>81.666666666666671</v>
      </c>
      <c r="N9" s="23">
        <f t="shared" ref="N9:N15" si="2">(L9*0.4+M9*0.6)</f>
        <v>86.2</v>
      </c>
      <c r="O9" s="19">
        <f t="shared" si="1"/>
        <v>84.759999999999991</v>
      </c>
      <c r="P9" s="21"/>
      <c r="Q9" s="12" t="s">
        <v>267</v>
      </c>
    </row>
    <row r="10" spans="1:17" ht="20.100000000000001" customHeight="1">
      <c r="A10" s="12">
        <v>9</v>
      </c>
      <c r="B10" s="12" t="s">
        <v>28</v>
      </c>
      <c r="C10" s="22" t="s">
        <v>14</v>
      </c>
      <c r="D10" s="12" t="s">
        <v>29</v>
      </c>
      <c r="E10" s="12" t="s">
        <v>30</v>
      </c>
      <c r="F10" s="12" t="s">
        <v>31</v>
      </c>
      <c r="G10" s="12" t="s">
        <v>25</v>
      </c>
      <c r="H10" s="12" t="s">
        <v>32</v>
      </c>
      <c r="I10" s="12" t="s">
        <v>33</v>
      </c>
      <c r="J10" s="12" t="s">
        <v>34</v>
      </c>
      <c r="K10" s="12">
        <f t="shared" si="0"/>
        <v>82.6</v>
      </c>
      <c r="L10" s="23">
        <v>88</v>
      </c>
      <c r="M10" s="23">
        <f>(88+88+88)/3</f>
        <v>88</v>
      </c>
      <c r="N10" s="23">
        <f t="shared" si="2"/>
        <v>88</v>
      </c>
      <c r="O10" s="19">
        <f t="shared" si="1"/>
        <v>84.759999999999991</v>
      </c>
      <c r="P10" s="21"/>
      <c r="Q10" s="12" t="s">
        <v>268</v>
      </c>
    </row>
    <row r="11" spans="1:17" ht="20.100000000000001" customHeight="1">
      <c r="A11" s="12">
        <v>10</v>
      </c>
      <c r="B11" s="12" t="s">
        <v>22</v>
      </c>
      <c r="C11" s="22" t="s">
        <v>14</v>
      </c>
      <c r="D11" s="12" t="s">
        <v>23</v>
      </c>
      <c r="E11" s="12" t="s">
        <v>7</v>
      </c>
      <c r="F11" s="12" t="s">
        <v>24</v>
      </c>
      <c r="G11" s="12" t="s">
        <v>25</v>
      </c>
      <c r="H11" s="12" t="s">
        <v>11</v>
      </c>
      <c r="I11" s="12" t="s">
        <v>26</v>
      </c>
      <c r="J11" s="12" t="s">
        <v>27</v>
      </c>
      <c r="K11" s="12">
        <f t="shared" si="0"/>
        <v>83.4</v>
      </c>
      <c r="L11" s="23">
        <v>80</v>
      </c>
      <c r="M11" s="23">
        <f>(90+90+90)/3</f>
        <v>90</v>
      </c>
      <c r="N11" s="23">
        <f t="shared" si="2"/>
        <v>86</v>
      </c>
      <c r="O11" s="19"/>
      <c r="P11" s="21"/>
      <c r="Q11" s="12" t="s">
        <v>269</v>
      </c>
    </row>
    <row r="12" spans="1:17" ht="20.100000000000001" customHeight="1">
      <c r="A12" s="12">
        <v>11</v>
      </c>
      <c r="B12" s="12" t="s">
        <v>41</v>
      </c>
      <c r="C12" s="22" t="s">
        <v>14</v>
      </c>
      <c r="D12" s="12" t="s">
        <v>42</v>
      </c>
      <c r="E12" s="12" t="s">
        <v>43</v>
      </c>
      <c r="F12" s="12" t="s">
        <v>44</v>
      </c>
      <c r="G12" s="12" t="s">
        <v>38</v>
      </c>
      <c r="H12" s="12" t="s">
        <v>45</v>
      </c>
      <c r="I12" s="12" t="s">
        <v>46</v>
      </c>
      <c r="J12" s="12" t="s">
        <v>47</v>
      </c>
      <c r="K12" s="12">
        <f t="shared" si="0"/>
        <v>80.599999999999994</v>
      </c>
      <c r="L12" s="23">
        <v>87</v>
      </c>
      <c r="M12" s="23">
        <f>(92+92+93)/3</f>
        <v>92.333333333333329</v>
      </c>
      <c r="N12" s="23">
        <f t="shared" si="2"/>
        <v>90.2</v>
      </c>
      <c r="O12" s="19">
        <f t="shared" si="1"/>
        <v>84.44</v>
      </c>
      <c r="P12" s="21"/>
      <c r="Q12" s="12" t="s">
        <v>268</v>
      </c>
    </row>
    <row r="13" spans="1:17" ht="20.100000000000001" customHeight="1">
      <c r="A13" s="12">
        <v>12</v>
      </c>
      <c r="B13" s="12" t="s">
        <v>48</v>
      </c>
      <c r="C13" s="22" t="s">
        <v>14</v>
      </c>
      <c r="D13" s="12" t="s">
        <v>49</v>
      </c>
      <c r="E13" s="12" t="s">
        <v>50</v>
      </c>
      <c r="F13" s="12" t="s">
        <v>51</v>
      </c>
      <c r="G13" s="12" t="s">
        <v>38</v>
      </c>
      <c r="H13" s="12" t="s">
        <v>52</v>
      </c>
      <c r="I13" s="12" t="s">
        <v>53</v>
      </c>
      <c r="J13" s="12" t="s">
        <v>47</v>
      </c>
      <c r="K13" s="12">
        <f t="shared" si="0"/>
        <v>80.599999999999994</v>
      </c>
      <c r="L13" s="23">
        <v>91</v>
      </c>
      <c r="M13" s="23">
        <f>(85+81+88)/3</f>
        <v>84.666666666666671</v>
      </c>
      <c r="N13" s="23">
        <f t="shared" si="2"/>
        <v>87.2</v>
      </c>
      <c r="O13" s="19">
        <f t="shared" si="1"/>
        <v>83.24</v>
      </c>
      <c r="P13" s="21"/>
      <c r="Q13" s="12" t="s">
        <v>268</v>
      </c>
    </row>
    <row r="14" spans="1:17" ht="20.100000000000001" customHeight="1">
      <c r="A14" s="12">
        <v>13</v>
      </c>
      <c r="B14" s="12" t="s">
        <v>59</v>
      </c>
      <c r="C14" s="22" t="s">
        <v>14</v>
      </c>
      <c r="D14" s="12" t="s">
        <v>60</v>
      </c>
      <c r="E14" s="12" t="s">
        <v>7</v>
      </c>
      <c r="F14" s="12" t="s">
        <v>61</v>
      </c>
      <c r="G14" s="12" t="s">
        <v>8</v>
      </c>
      <c r="H14" s="12" t="s">
        <v>32</v>
      </c>
      <c r="I14" s="12" t="s">
        <v>32</v>
      </c>
      <c r="J14" s="12" t="s">
        <v>62</v>
      </c>
      <c r="K14" s="12">
        <f t="shared" si="0"/>
        <v>79.8</v>
      </c>
      <c r="L14" s="23">
        <v>87</v>
      </c>
      <c r="M14" s="23">
        <f>(86+85+87)/3</f>
        <v>86</v>
      </c>
      <c r="N14" s="23">
        <f t="shared" si="2"/>
        <v>86.4</v>
      </c>
      <c r="O14" s="19">
        <f t="shared" si="1"/>
        <v>82.44</v>
      </c>
      <c r="P14" s="21"/>
      <c r="Q14" s="12" t="s">
        <v>267</v>
      </c>
    </row>
    <row r="15" spans="1:17" ht="20.100000000000001" customHeight="1">
      <c r="A15" s="12">
        <v>14</v>
      </c>
      <c r="B15" s="12" t="s">
        <v>35</v>
      </c>
      <c r="C15" s="22" t="s">
        <v>14</v>
      </c>
      <c r="D15" s="12" t="s">
        <v>36</v>
      </c>
      <c r="E15" s="12" t="s">
        <v>30</v>
      </c>
      <c r="F15" s="12" t="s">
        <v>37</v>
      </c>
      <c r="G15" s="12" t="s">
        <v>38</v>
      </c>
      <c r="H15" s="12" t="s">
        <v>39</v>
      </c>
      <c r="I15" s="12" t="s">
        <v>10</v>
      </c>
      <c r="J15" s="12" t="s">
        <v>40</v>
      </c>
      <c r="K15" s="12">
        <f t="shared" si="0"/>
        <v>81.2</v>
      </c>
      <c r="L15" s="23">
        <v>83</v>
      </c>
      <c r="M15" s="23">
        <f>(82+82+82)/3</f>
        <v>82</v>
      </c>
      <c r="N15" s="23">
        <f t="shared" si="2"/>
        <v>82.4</v>
      </c>
      <c r="O15" s="19">
        <f t="shared" si="1"/>
        <v>81.680000000000007</v>
      </c>
      <c r="P15" s="21"/>
      <c r="Q15" s="12" t="s">
        <v>270</v>
      </c>
    </row>
    <row r="16" spans="1:17" ht="20.100000000000001" customHeight="1">
      <c r="A16" s="12">
        <v>15</v>
      </c>
      <c r="B16" s="12" t="s">
        <v>231</v>
      </c>
      <c r="C16" s="22" t="s">
        <v>14</v>
      </c>
      <c r="D16" s="12" t="s">
        <v>232</v>
      </c>
      <c r="E16" s="12" t="s">
        <v>233</v>
      </c>
      <c r="F16" s="12">
        <v>74</v>
      </c>
      <c r="G16" s="12">
        <v>68</v>
      </c>
      <c r="H16" s="12">
        <v>125</v>
      </c>
      <c r="I16" s="12">
        <v>135</v>
      </c>
      <c r="J16" s="12">
        <v>402</v>
      </c>
      <c r="K16" s="12">
        <f t="shared" ref="K16:K35" si="3">J16/5</f>
        <v>80.400000000000006</v>
      </c>
      <c r="L16" s="8"/>
      <c r="M16" s="8"/>
      <c r="N16" s="21">
        <v>76.8</v>
      </c>
      <c r="O16" s="19">
        <f t="shared" si="1"/>
        <v>78.960000000000008</v>
      </c>
      <c r="P16" s="21" t="s">
        <v>271</v>
      </c>
      <c r="Q16" s="12" t="s">
        <v>270</v>
      </c>
    </row>
    <row r="17" spans="1:17" ht="20.100000000000001" customHeight="1">
      <c r="A17" s="12">
        <v>16</v>
      </c>
      <c r="B17" s="12" t="s">
        <v>234</v>
      </c>
      <c r="C17" s="22" t="s">
        <v>14</v>
      </c>
      <c r="D17" s="12" t="s">
        <v>235</v>
      </c>
      <c r="E17" s="12" t="s">
        <v>192</v>
      </c>
      <c r="F17" s="12">
        <v>68</v>
      </c>
      <c r="G17" s="12">
        <v>64</v>
      </c>
      <c r="H17" s="12">
        <v>118</v>
      </c>
      <c r="I17" s="12">
        <v>93</v>
      </c>
      <c r="J17" s="12">
        <v>343</v>
      </c>
      <c r="K17" s="12">
        <f t="shared" si="3"/>
        <v>68.599999999999994</v>
      </c>
      <c r="L17" s="8"/>
      <c r="M17" s="8"/>
      <c r="N17" s="21">
        <v>76.8</v>
      </c>
      <c r="O17" s="19">
        <f t="shared" si="1"/>
        <v>71.88</v>
      </c>
      <c r="P17" s="21" t="s">
        <v>272</v>
      </c>
      <c r="Q17" s="12" t="s">
        <v>273</v>
      </c>
    </row>
    <row r="18" spans="1:17" ht="20.100000000000001" customHeight="1">
      <c r="A18" s="12">
        <v>17</v>
      </c>
      <c r="B18" s="12" t="s">
        <v>96</v>
      </c>
      <c r="C18" s="12" t="s">
        <v>97</v>
      </c>
      <c r="D18" s="12" t="s">
        <v>98</v>
      </c>
      <c r="E18" s="12" t="s">
        <v>65</v>
      </c>
      <c r="F18" s="12" t="s">
        <v>57</v>
      </c>
      <c r="G18" s="12" t="s">
        <v>25</v>
      </c>
      <c r="H18" s="12" t="s">
        <v>99</v>
      </c>
      <c r="I18" s="12" t="s">
        <v>53</v>
      </c>
      <c r="J18" s="12" t="s">
        <v>100</v>
      </c>
      <c r="K18" s="12">
        <f t="shared" si="3"/>
        <v>84.8</v>
      </c>
      <c r="L18" s="23">
        <f>(90+87+88)/3</f>
        <v>88.333333333333329</v>
      </c>
      <c r="M18" s="23">
        <f>(90+93+90)/3</f>
        <v>91</v>
      </c>
      <c r="N18" s="23">
        <f>L18*0.4+M18*0.6</f>
        <v>89.933333333333337</v>
      </c>
      <c r="O18" s="19">
        <f t="shared" si="1"/>
        <v>86.853333333333325</v>
      </c>
      <c r="P18" s="21"/>
      <c r="Q18" s="12" t="s">
        <v>274</v>
      </c>
    </row>
    <row r="19" spans="1:17" ht="20.100000000000001" customHeight="1">
      <c r="A19" s="12">
        <v>18</v>
      </c>
      <c r="B19" s="12" t="s">
        <v>101</v>
      </c>
      <c r="C19" s="12" t="s">
        <v>97</v>
      </c>
      <c r="D19" s="12" t="s">
        <v>102</v>
      </c>
      <c r="E19" s="12" t="s">
        <v>103</v>
      </c>
      <c r="F19" s="12" t="s">
        <v>66</v>
      </c>
      <c r="G19" s="12" t="s">
        <v>104</v>
      </c>
      <c r="H19" s="12" t="s">
        <v>78</v>
      </c>
      <c r="I19" s="12" t="s">
        <v>52</v>
      </c>
      <c r="J19" s="12" t="s">
        <v>105</v>
      </c>
      <c r="K19" s="12">
        <f t="shared" si="3"/>
        <v>78.599999999999994</v>
      </c>
      <c r="L19" s="23">
        <f>(90+92+92)/3</f>
        <v>91.333333333333329</v>
      </c>
      <c r="M19" s="23">
        <f>(98+95+90)/3</f>
        <v>94.333333333333329</v>
      </c>
      <c r="N19" s="23">
        <f>L19*0.4+M19*0.6</f>
        <v>93.133333333333326</v>
      </c>
      <c r="O19" s="19">
        <f t="shared" si="1"/>
        <v>84.413333333333327</v>
      </c>
      <c r="P19" s="21"/>
      <c r="Q19" s="12" t="s">
        <v>268</v>
      </c>
    </row>
    <row r="20" spans="1:17" ht="20.100000000000001" customHeight="1">
      <c r="A20" s="12">
        <v>19</v>
      </c>
      <c r="B20" s="12" t="s">
        <v>236</v>
      </c>
      <c r="C20" s="12" t="s">
        <v>97</v>
      </c>
      <c r="D20" s="12" t="s">
        <v>237</v>
      </c>
      <c r="E20" s="12" t="s">
        <v>238</v>
      </c>
      <c r="F20" s="12">
        <v>77</v>
      </c>
      <c r="G20" s="12">
        <v>65</v>
      </c>
      <c r="H20" s="12">
        <v>134</v>
      </c>
      <c r="I20" s="12">
        <v>123</v>
      </c>
      <c r="J20" s="12">
        <v>399</v>
      </c>
      <c r="K20" s="12">
        <f t="shared" si="3"/>
        <v>79.8</v>
      </c>
      <c r="L20" s="24"/>
      <c r="M20" s="24"/>
      <c r="N20" s="24">
        <v>80.27</v>
      </c>
      <c r="O20" s="19">
        <f t="shared" si="1"/>
        <v>79.988</v>
      </c>
      <c r="P20" s="21" t="s">
        <v>275</v>
      </c>
      <c r="Q20" s="12" t="s">
        <v>268</v>
      </c>
    </row>
    <row r="21" spans="1:17" ht="20.100000000000001" customHeight="1">
      <c r="A21" s="12">
        <v>20</v>
      </c>
      <c r="B21" s="12" t="s">
        <v>239</v>
      </c>
      <c r="C21" s="12" t="s">
        <v>97</v>
      </c>
      <c r="D21" s="25" t="s">
        <v>240</v>
      </c>
      <c r="E21" s="12" t="s">
        <v>124</v>
      </c>
      <c r="F21" s="12">
        <v>75</v>
      </c>
      <c r="G21" s="12">
        <v>70</v>
      </c>
      <c r="H21" s="12">
        <v>136</v>
      </c>
      <c r="I21" s="12">
        <v>102</v>
      </c>
      <c r="J21" s="12">
        <v>383</v>
      </c>
      <c r="K21" s="12">
        <f t="shared" si="3"/>
        <v>76.599999999999994</v>
      </c>
      <c r="L21" s="24"/>
      <c r="M21" s="24"/>
      <c r="N21" s="24">
        <v>82.6</v>
      </c>
      <c r="O21" s="19">
        <f t="shared" si="1"/>
        <v>79</v>
      </c>
      <c r="P21" s="21" t="s">
        <v>275</v>
      </c>
      <c r="Q21" s="12" t="s">
        <v>268</v>
      </c>
    </row>
    <row r="22" spans="1:17" ht="20.100000000000001" customHeight="1">
      <c r="A22" s="12">
        <v>21</v>
      </c>
      <c r="B22" s="12" t="s">
        <v>241</v>
      </c>
      <c r="C22" s="12" t="s">
        <v>97</v>
      </c>
      <c r="D22" s="12" t="s">
        <v>242</v>
      </c>
      <c r="E22" s="12" t="s">
        <v>238</v>
      </c>
      <c r="F22" s="12">
        <v>67</v>
      </c>
      <c r="G22" s="12">
        <v>70</v>
      </c>
      <c r="H22" s="12">
        <v>126</v>
      </c>
      <c r="I22" s="12">
        <v>126</v>
      </c>
      <c r="J22" s="12">
        <v>389</v>
      </c>
      <c r="K22" s="12">
        <f t="shared" si="3"/>
        <v>77.8</v>
      </c>
      <c r="L22" s="24"/>
      <c r="M22" s="24"/>
      <c r="N22" s="24">
        <v>75.900000000000006</v>
      </c>
      <c r="O22" s="19">
        <f t="shared" si="1"/>
        <v>77.040000000000006</v>
      </c>
      <c r="P22" s="21" t="s">
        <v>276</v>
      </c>
      <c r="Q22" s="12" t="s">
        <v>277</v>
      </c>
    </row>
    <row r="23" spans="1:17" ht="20.100000000000001" customHeight="1">
      <c r="A23" s="12">
        <v>22</v>
      </c>
      <c r="B23" s="12" t="s">
        <v>243</v>
      </c>
      <c r="C23" s="12" t="s">
        <v>97</v>
      </c>
      <c r="D23" s="12" t="s">
        <v>244</v>
      </c>
      <c r="E23" s="12" t="s">
        <v>245</v>
      </c>
      <c r="F23" s="12">
        <v>75</v>
      </c>
      <c r="G23" s="12">
        <v>67</v>
      </c>
      <c r="H23" s="12">
        <v>137</v>
      </c>
      <c r="I23" s="12">
        <v>97</v>
      </c>
      <c r="J23" s="12">
        <v>376</v>
      </c>
      <c r="K23" s="12">
        <f t="shared" si="3"/>
        <v>75.2</v>
      </c>
      <c r="L23" s="24"/>
      <c r="M23" s="24"/>
      <c r="N23" s="24">
        <v>78.53</v>
      </c>
      <c r="O23" s="19">
        <f t="shared" si="1"/>
        <v>76.531999999999996</v>
      </c>
      <c r="P23" s="21" t="s">
        <v>276</v>
      </c>
      <c r="Q23" s="12" t="s">
        <v>277</v>
      </c>
    </row>
    <row r="24" spans="1:17" ht="20.100000000000001" customHeight="1">
      <c r="A24" s="12">
        <v>23</v>
      </c>
      <c r="B24" s="12" t="s">
        <v>246</v>
      </c>
      <c r="C24" s="12" t="s">
        <v>97</v>
      </c>
      <c r="D24" s="12" t="s">
        <v>247</v>
      </c>
      <c r="E24" s="12" t="s">
        <v>248</v>
      </c>
      <c r="F24" s="12">
        <v>53</v>
      </c>
      <c r="G24" s="12">
        <v>70</v>
      </c>
      <c r="H24" s="12">
        <v>105</v>
      </c>
      <c r="I24" s="12">
        <v>110</v>
      </c>
      <c r="J24" s="12">
        <v>338</v>
      </c>
      <c r="K24" s="12">
        <f t="shared" si="3"/>
        <v>67.599999999999994</v>
      </c>
      <c r="L24" s="24"/>
      <c r="M24" s="24"/>
      <c r="N24" s="24">
        <v>82.13</v>
      </c>
      <c r="O24" s="19">
        <f t="shared" si="1"/>
        <v>73.411999999999992</v>
      </c>
      <c r="P24" s="21" t="s">
        <v>278</v>
      </c>
      <c r="Q24" s="12" t="s">
        <v>279</v>
      </c>
    </row>
    <row r="25" spans="1:17" ht="20.100000000000001" customHeight="1">
      <c r="A25" s="12">
        <v>24</v>
      </c>
      <c r="B25" s="12" t="s">
        <v>114</v>
      </c>
      <c r="C25" s="12" t="s">
        <v>107</v>
      </c>
      <c r="D25" s="12" t="s">
        <v>115</v>
      </c>
      <c r="E25" s="12" t="s">
        <v>116</v>
      </c>
      <c r="F25" s="12" t="s">
        <v>110</v>
      </c>
      <c r="G25" s="12" t="s">
        <v>18</v>
      </c>
      <c r="H25" s="12" t="s">
        <v>11</v>
      </c>
      <c r="I25" s="12" t="s">
        <v>11</v>
      </c>
      <c r="J25" s="12" t="s">
        <v>117</v>
      </c>
      <c r="K25" s="12">
        <f t="shared" si="3"/>
        <v>82.2</v>
      </c>
      <c r="L25" s="9">
        <v>95</v>
      </c>
      <c r="M25" s="9">
        <v>87.3</v>
      </c>
      <c r="N25" s="9">
        <v>90.38</v>
      </c>
      <c r="O25" s="19">
        <f t="shared" si="1"/>
        <v>85.472000000000008</v>
      </c>
      <c r="P25" s="21"/>
      <c r="Q25" s="12" t="s">
        <v>280</v>
      </c>
    </row>
    <row r="26" spans="1:17" ht="20.100000000000001" customHeight="1">
      <c r="A26" s="12">
        <v>25</v>
      </c>
      <c r="B26" s="12" t="s">
        <v>106</v>
      </c>
      <c r="C26" s="12" t="s">
        <v>107</v>
      </c>
      <c r="D26" s="12" t="s">
        <v>108</v>
      </c>
      <c r="E26" s="12" t="s">
        <v>109</v>
      </c>
      <c r="F26" s="12" t="s">
        <v>110</v>
      </c>
      <c r="G26" s="12" t="s">
        <v>111</v>
      </c>
      <c r="H26" s="12" t="s">
        <v>39</v>
      </c>
      <c r="I26" s="12" t="s">
        <v>112</v>
      </c>
      <c r="J26" s="12" t="s">
        <v>113</v>
      </c>
      <c r="K26" s="12">
        <f t="shared" si="3"/>
        <v>84.4</v>
      </c>
      <c r="L26" s="9">
        <v>85</v>
      </c>
      <c r="M26" s="9">
        <v>85.3</v>
      </c>
      <c r="N26" s="9">
        <v>85.18</v>
      </c>
      <c r="O26" s="19">
        <f t="shared" si="1"/>
        <v>84.712000000000003</v>
      </c>
      <c r="P26" s="21"/>
      <c r="Q26" s="12" t="s">
        <v>281</v>
      </c>
    </row>
    <row r="27" spans="1:17" ht="20.100000000000001" customHeight="1">
      <c r="A27" s="12">
        <v>26</v>
      </c>
      <c r="B27" s="12" t="s">
        <v>122</v>
      </c>
      <c r="C27" s="12" t="s">
        <v>107</v>
      </c>
      <c r="D27" s="12" t="s">
        <v>123</v>
      </c>
      <c r="E27" s="12" t="s">
        <v>124</v>
      </c>
      <c r="F27" s="12" t="s">
        <v>111</v>
      </c>
      <c r="G27" s="12" t="s">
        <v>18</v>
      </c>
      <c r="H27" s="12" t="s">
        <v>125</v>
      </c>
      <c r="I27" s="12" t="s">
        <v>120</v>
      </c>
      <c r="J27" s="12" t="s">
        <v>126</v>
      </c>
      <c r="K27" s="12">
        <f t="shared" si="3"/>
        <v>77.8</v>
      </c>
      <c r="L27" s="9">
        <v>90</v>
      </c>
      <c r="M27" s="9">
        <v>88.7</v>
      </c>
      <c r="N27" s="9">
        <v>89.22</v>
      </c>
      <c r="O27" s="19">
        <f t="shared" si="1"/>
        <v>82.367999999999995</v>
      </c>
      <c r="P27" s="21"/>
      <c r="Q27" s="12" t="s">
        <v>267</v>
      </c>
    </row>
    <row r="28" spans="1:17" ht="20.100000000000001" customHeight="1">
      <c r="A28" s="12">
        <v>27</v>
      </c>
      <c r="B28" s="12" t="s">
        <v>127</v>
      </c>
      <c r="C28" s="12" t="s">
        <v>249</v>
      </c>
      <c r="D28" s="12" t="s">
        <v>128</v>
      </c>
      <c r="E28" s="12" t="s">
        <v>129</v>
      </c>
      <c r="F28" s="12" t="s">
        <v>9</v>
      </c>
      <c r="G28" s="12" t="s">
        <v>17</v>
      </c>
      <c r="H28" s="12" t="s">
        <v>130</v>
      </c>
      <c r="I28" s="12" t="s">
        <v>10</v>
      </c>
      <c r="J28" s="12" t="s">
        <v>113</v>
      </c>
      <c r="K28" s="12">
        <f t="shared" si="3"/>
        <v>84.4</v>
      </c>
      <c r="L28" s="23">
        <f>(85+78+90)/3</f>
        <v>84.333333333333329</v>
      </c>
      <c r="M28" s="23">
        <f>(88+83+92)/3</f>
        <v>87.666666666666671</v>
      </c>
      <c r="N28" s="23">
        <f t="shared" ref="N28:N35" si="4">L28*0.4+M28*0.6</f>
        <v>86.333333333333343</v>
      </c>
      <c r="O28" s="19">
        <f t="shared" si="1"/>
        <v>85.173333333333346</v>
      </c>
      <c r="P28" s="21"/>
      <c r="Q28" s="12" t="s">
        <v>281</v>
      </c>
    </row>
    <row r="29" spans="1:17" ht="20.100000000000001" customHeight="1">
      <c r="A29" s="12">
        <v>28</v>
      </c>
      <c r="B29" s="12" t="s">
        <v>135</v>
      </c>
      <c r="C29" s="12" t="s">
        <v>249</v>
      </c>
      <c r="D29" s="12" t="s">
        <v>136</v>
      </c>
      <c r="E29" s="12" t="s">
        <v>137</v>
      </c>
      <c r="F29" s="12" t="s">
        <v>138</v>
      </c>
      <c r="G29" s="12" t="s">
        <v>9</v>
      </c>
      <c r="H29" s="12" t="s">
        <v>52</v>
      </c>
      <c r="I29" s="12" t="s">
        <v>139</v>
      </c>
      <c r="J29" s="12" t="s">
        <v>40</v>
      </c>
      <c r="K29" s="12">
        <f t="shared" si="3"/>
        <v>81.2</v>
      </c>
      <c r="L29" s="23">
        <f>(90+90+94)/3</f>
        <v>91.333333333333329</v>
      </c>
      <c r="M29" s="23">
        <f>(90+85+96)/3</f>
        <v>90.333333333333329</v>
      </c>
      <c r="N29" s="23">
        <f t="shared" si="4"/>
        <v>90.73333333333332</v>
      </c>
      <c r="O29" s="19">
        <f t="shared" si="1"/>
        <v>85.013333333333321</v>
      </c>
      <c r="P29" s="21"/>
      <c r="Q29" s="12" t="s">
        <v>270</v>
      </c>
    </row>
    <row r="30" spans="1:17" ht="20.100000000000001" customHeight="1">
      <c r="A30" s="12">
        <v>29</v>
      </c>
      <c r="B30" s="12" t="s">
        <v>131</v>
      </c>
      <c r="C30" s="12" t="s">
        <v>249</v>
      </c>
      <c r="D30" s="12" t="s">
        <v>132</v>
      </c>
      <c r="E30" s="12" t="s">
        <v>133</v>
      </c>
      <c r="F30" s="12" t="s">
        <v>24</v>
      </c>
      <c r="G30" s="12" t="s">
        <v>8</v>
      </c>
      <c r="H30" s="12" t="s">
        <v>11</v>
      </c>
      <c r="I30" s="12" t="s">
        <v>53</v>
      </c>
      <c r="J30" s="12" t="s">
        <v>134</v>
      </c>
      <c r="K30" s="12">
        <f t="shared" si="3"/>
        <v>82</v>
      </c>
      <c r="L30" s="23">
        <f>(80+82+92)/3</f>
        <v>84.666666666666671</v>
      </c>
      <c r="M30" s="23">
        <f>(85+83+96)/3</f>
        <v>88</v>
      </c>
      <c r="N30" s="23">
        <f t="shared" si="4"/>
        <v>86.666666666666657</v>
      </c>
      <c r="O30" s="19">
        <f t="shared" si="1"/>
        <v>83.86666666666666</v>
      </c>
      <c r="P30" s="21"/>
      <c r="Q30" s="12" t="s">
        <v>282</v>
      </c>
    </row>
    <row r="31" spans="1:17" ht="20.100000000000001" customHeight="1">
      <c r="A31" s="12">
        <v>30</v>
      </c>
      <c r="B31" s="12" t="s">
        <v>140</v>
      </c>
      <c r="C31" s="12" t="s">
        <v>249</v>
      </c>
      <c r="D31" s="12" t="s">
        <v>141</v>
      </c>
      <c r="E31" s="12" t="s">
        <v>137</v>
      </c>
      <c r="F31" s="12" t="s">
        <v>17</v>
      </c>
      <c r="G31" s="12" t="s">
        <v>93</v>
      </c>
      <c r="H31" s="12" t="s">
        <v>71</v>
      </c>
      <c r="I31" s="12" t="s">
        <v>142</v>
      </c>
      <c r="J31" s="12" t="s">
        <v>143</v>
      </c>
      <c r="K31" s="12">
        <f t="shared" si="3"/>
        <v>79.400000000000006</v>
      </c>
      <c r="L31" s="23">
        <f>(82+80+85)/3</f>
        <v>82.333333333333329</v>
      </c>
      <c r="M31" s="23">
        <f>(85+84+87)/3</f>
        <v>85.333333333333329</v>
      </c>
      <c r="N31" s="23">
        <f t="shared" si="4"/>
        <v>84.133333333333326</v>
      </c>
      <c r="O31" s="19">
        <f t="shared" si="1"/>
        <v>81.293333333333322</v>
      </c>
      <c r="P31" s="21"/>
      <c r="Q31" s="12" t="s">
        <v>269</v>
      </c>
    </row>
    <row r="32" spans="1:17" ht="20.100000000000001" customHeight="1">
      <c r="A32" s="12">
        <v>31</v>
      </c>
      <c r="B32" s="12" t="s">
        <v>144</v>
      </c>
      <c r="C32" s="12" t="s">
        <v>145</v>
      </c>
      <c r="D32" s="12" t="s">
        <v>146</v>
      </c>
      <c r="E32" s="12" t="s">
        <v>147</v>
      </c>
      <c r="F32" s="12" t="s">
        <v>148</v>
      </c>
      <c r="G32" s="12" t="s">
        <v>18</v>
      </c>
      <c r="H32" s="12" t="s">
        <v>139</v>
      </c>
      <c r="I32" s="12" t="s">
        <v>53</v>
      </c>
      <c r="J32" s="12" t="s">
        <v>47</v>
      </c>
      <c r="K32" s="12">
        <f t="shared" si="3"/>
        <v>80.599999999999994</v>
      </c>
      <c r="L32" s="23">
        <f>(90+95+92)/3</f>
        <v>92.333333333333329</v>
      </c>
      <c r="M32" s="23">
        <f>(85+95+89)/3</f>
        <v>89.666666666666671</v>
      </c>
      <c r="N32" s="23">
        <f t="shared" si="4"/>
        <v>90.733333333333334</v>
      </c>
      <c r="O32" s="19">
        <f t="shared" si="1"/>
        <v>84.653333333333336</v>
      </c>
      <c r="P32" s="21"/>
      <c r="Q32" s="12" t="s">
        <v>268</v>
      </c>
    </row>
    <row r="33" spans="1:17" ht="20.100000000000001" customHeight="1">
      <c r="A33" s="12">
        <v>32</v>
      </c>
      <c r="B33" s="12" t="s">
        <v>54</v>
      </c>
      <c r="C33" s="12" t="s">
        <v>145</v>
      </c>
      <c r="D33" s="12" t="s">
        <v>55</v>
      </c>
      <c r="E33" s="12" t="s">
        <v>56</v>
      </c>
      <c r="F33" s="12" t="s">
        <v>8</v>
      </c>
      <c r="G33" s="12" t="s">
        <v>57</v>
      </c>
      <c r="H33" s="12" t="s">
        <v>58</v>
      </c>
      <c r="I33" s="12" t="s">
        <v>10</v>
      </c>
      <c r="J33" s="12">
        <v>402</v>
      </c>
      <c r="K33" s="12">
        <f t="shared" si="3"/>
        <v>80.400000000000006</v>
      </c>
      <c r="L33" s="23">
        <f>(84+85+90)/3</f>
        <v>86.333333333333329</v>
      </c>
      <c r="M33" s="23">
        <f>(85+87+90)/3</f>
        <v>87.333333333333329</v>
      </c>
      <c r="N33" s="23">
        <f t="shared" si="4"/>
        <v>86.933333333333337</v>
      </c>
      <c r="O33" s="19">
        <f t="shared" si="1"/>
        <v>83.013333333333335</v>
      </c>
      <c r="P33" s="21" t="s">
        <v>287</v>
      </c>
      <c r="Q33" s="12" t="s">
        <v>274</v>
      </c>
    </row>
    <row r="34" spans="1:17" ht="20.100000000000001" customHeight="1">
      <c r="A34" s="12">
        <v>33</v>
      </c>
      <c r="B34" s="12" t="s">
        <v>149</v>
      </c>
      <c r="C34" s="12" t="s">
        <v>145</v>
      </c>
      <c r="D34" s="12" t="s">
        <v>150</v>
      </c>
      <c r="E34" s="12" t="s">
        <v>151</v>
      </c>
      <c r="F34" s="12" t="s">
        <v>24</v>
      </c>
      <c r="G34" s="12" t="s">
        <v>110</v>
      </c>
      <c r="H34" s="12" t="s">
        <v>94</v>
      </c>
      <c r="I34" s="12" t="s">
        <v>71</v>
      </c>
      <c r="J34" s="12" t="s">
        <v>95</v>
      </c>
      <c r="K34" s="12">
        <f t="shared" si="3"/>
        <v>76.400000000000006</v>
      </c>
      <c r="L34" s="23">
        <f>(85+90+83)/3</f>
        <v>86</v>
      </c>
      <c r="M34" s="23">
        <f>(80+80+85)/3</f>
        <v>81.666666666666671</v>
      </c>
      <c r="N34" s="23">
        <f t="shared" si="4"/>
        <v>83.4</v>
      </c>
      <c r="O34" s="19">
        <f t="shared" si="1"/>
        <v>79.200000000000017</v>
      </c>
      <c r="P34" s="21"/>
      <c r="Q34" s="12" t="s">
        <v>281</v>
      </c>
    </row>
    <row r="35" spans="1:17" ht="20.100000000000001" customHeight="1">
      <c r="A35" s="12">
        <v>34</v>
      </c>
      <c r="B35" s="12" t="s">
        <v>63</v>
      </c>
      <c r="C35" s="12" t="s">
        <v>145</v>
      </c>
      <c r="D35" s="12" t="s">
        <v>64</v>
      </c>
      <c r="E35" s="12" t="s">
        <v>65</v>
      </c>
      <c r="F35" s="12" t="s">
        <v>66</v>
      </c>
      <c r="G35" s="12" t="s">
        <v>66</v>
      </c>
      <c r="H35" s="12" t="s">
        <v>67</v>
      </c>
      <c r="I35" s="12" t="s">
        <v>19</v>
      </c>
      <c r="J35" s="12">
        <v>394</v>
      </c>
      <c r="K35" s="12">
        <f t="shared" si="3"/>
        <v>78.8</v>
      </c>
      <c r="L35" s="23">
        <f>(79+75+80)/3</f>
        <v>78</v>
      </c>
      <c r="M35" s="23">
        <f>(70+80+75)/3</f>
        <v>75</v>
      </c>
      <c r="N35" s="23">
        <f t="shared" si="4"/>
        <v>76.2</v>
      </c>
      <c r="O35" s="19">
        <f t="shared" si="1"/>
        <v>77.759999999999991</v>
      </c>
      <c r="P35" s="21" t="s">
        <v>287</v>
      </c>
      <c r="Q35" s="12" t="s">
        <v>280</v>
      </c>
    </row>
    <row r="36" spans="1:17" s="1" customFormat="1" ht="20.100000000000001" customHeight="1">
      <c r="A36" s="12">
        <v>35</v>
      </c>
      <c r="B36" s="12" t="s">
        <v>250</v>
      </c>
      <c r="C36" s="12" t="s">
        <v>251</v>
      </c>
      <c r="D36" s="12" t="s">
        <v>252</v>
      </c>
      <c r="E36" s="12" t="s">
        <v>253</v>
      </c>
      <c r="F36" s="12">
        <v>70</v>
      </c>
      <c r="G36" s="12">
        <v>69</v>
      </c>
      <c r="H36" s="12">
        <v>127</v>
      </c>
      <c r="I36" s="12">
        <v>137</v>
      </c>
      <c r="J36" s="12">
        <v>403</v>
      </c>
      <c r="K36" s="12">
        <f t="shared" ref="K36:K46" si="5">J36/5</f>
        <v>80.599999999999994</v>
      </c>
      <c r="L36" s="26"/>
      <c r="M36" s="26"/>
      <c r="N36" s="26">
        <v>81.53</v>
      </c>
      <c r="O36" s="19">
        <f t="shared" si="1"/>
        <v>80.971999999999994</v>
      </c>
      <c r="P36" s="21" t="s">
        <v>283</v>
      </c>
      <c r="Q36" s="12" t="s">
        <v>284</v>
      </c>
    </row>
    <row r="37" spans="1:17" ht="20.100000000000001" customHeight="1">
      <c r="A37" s="12">
        <v>36</v>
      </c>
      <c r="B37" s="12" t="s">
        <v>152</v>
      </c>
      <c r="C37" s="12" t="s">
        <v>153</v>
      </c>
      <c r="D37" s="12" t="s">
        <v>154</v>
      </c>
      <c r="E37" s="12" t="s">
        <v>137</v>
      </c>
      <c r="F37" s="12" t="s">
        <v>24</v>
      </c>
      <c r="G37" s="12" t="s">
        <v>76</v>
      </c>
      <c r="H37" s="12" t="s">
        <v>155</v>
      </c>
      <c r="I37" s="12" t="s">
        <v>156</v>
      </c>
      <c r="J37" s="12" t="s">
        <v>157</v>
      </c>
      <c r="K37" s="12">
        <f t="shared" si="5"/>
        <v>69.2</v>
      </c>
      <c r="L37" s="23">
        <f>(70+60+57)/3</f>
        <v>62.333333333333336</v>
      </c>
      <c r="M37" s="23">
        <f>(88+89+89+76+70+90)/6</f>
        <v>83.666666666666671</v>
      </c>
      <c r="N37" s="23">
        <f t="shared" ref="N37:N46" si="6">L37*0.4+M37*0.6</f>
        <v>75.13333333333334</v>
      </c>
      <c r="O37" s="19">
        <f t="shared" si="1"/>
        <v>71.573333333333338</v>
      </c>
      <c r="P37" s="21"/>
      <c r="Q37" s="12" t="s">
        <v>270</v>
      </c>
    </row>
    <row r="38" spans="1:17" ht="20.100000000000001" customHeight="1">
      <c r="A38" s="12">
        <v>37</v>
      </c>
      <c r="B38" s="12" t="s">
        <v>164</v>
      </c>
      <c r="C38" s="12" t="s">
        <v>159</v>
      </c>
      <c r="D38" s="12" t="s">
        <v>165</v>
      </c>
      <c r="E38" s="12" t="s">
        <v>166</v>
      </c>
      <c r="F38" s="12" t="s">
        <v>148</v>
      </c>
      <c r="G38" s="12" t="s">
        <v>38</v>
      </c>
      <c r="H38" s="12" t="s">
        <v>167</v>
      </c>
      <c r="I38" s="12" t="s">
        <v>156</v>
      </c>
      <c r="J38" s="12" t="s">
        <v>168</v>
      </c>
      <c r="K38" s="12">
        <f t="shared" si="5"/>
        <v>76</v>
      </c>
      <c r="L38" s="23">
        <f>(80+70+60)/3</f>
        <v>70</v>
      </c>
      <c r="M38" s="23">
        <f>(90+89+89+90+100+90)/6</f>
        <v>91.333333333333329</v>
      </c>
      <c r="N38" s="23">
        <f t="shared" si="6"/>
        <v>82.8</v>
      </c>
      <c r="O38" s="19">
        <f t="shared" si="1"/>
        <v>78.72</v>
      </c>
      <c r="P38" s="21"/>
      <c r="Q38" s="12" t="s">
        <v>282</v>
      </c>
    </row>
    <row r="39" spans="1:17" ht="20.100000000000001" customHeight="1">
      <c r="A39" s="12">
        <v>38</v>
      </c>
      <c r="B39" s="12" t="s">
        <v>169</v>
      </c>
      <c r="C39" s="12" t="s">
        <v>159</v>
      </c>
      <c r="D39" s="12" t="s">
        <v>170</v>
      </c>
      <c r="E39" s="12" t="s">
        <v>171</v>
      </c>
      <c r="F39" s="12" t="s">
        <v>17</v>
      </c>
      <c r="G39" s="12" t="s">
        <v>8</v>
      </c>
      <c r="H39" s="12" t="s">
        <v>172</v>
      </c>
      <c r="I39" s="12" t="s">
        <v>156</v>
      </c>
      <c r="J39" s="12" t="s">
        <v>173</v>
      </c>
      <c r="K39" s="12">
        <f t="shared" si="5"/>
        <v>75.2</v>
      </c>
      <c r="L39" s="23">
        <f>(77+65+73)/3</f>
        <v>71.666666666666671</v>
      </c>
      <c r="M39" s="23">
        <f>(95+95+92+78+80+95)/6</f>
        <v>89.166666666666671</v>
      </c>
      <c r="N39" s="23">
        <f t="shared" si="6"/>
        <v>82.166666666666671</v>
      </c>
      <c r="O39" s="19">
        <f t="shared" si="1"/>
        <v>77.986666666666665</v>
      </c>
      <c r="P39" s="21"/>
      <c r="Q39" s="12" t="s">
        <v>270</v>
      </c>
    </row>
    <row r="40" spans="1:17" ht="20.100000000000001" customHeight="1">
      <c r="A40" s="12">
        <v>39</v>
      </c>
      <c r="B40" s="12" t="s">
        <v>174</v>
      </c>
      <c r="C40" s="12" t="s">
        <v>159</v>
      </c>
      <c r="D40" s="12" t="s">
        <v>175</v>
      </c>
      <c r="E40" s="12" t="s">
        <v>176</v>
      </c>
      <c r="F40" s="12" t="s">
        <v>38</v>
      </c>
      <c r="G40" s="12" t="s">
        <v>24</v>
      </c>
      <c r="H40" s="12" t="s">
        <v>177</v>
      </c>
      <c r="I40" s="12" t="s">
        <v>156</v>
      </c>
      <c r="J40" s="12" t="s">
        <v>178</v>
      </c>
      <c r="K40" s="12">
        <f t="shared" si="5"/>
        <v>72.400000000000006</v>
      </c>
      <c r="L40" s="23">
        <f>(80+65+83)/3</f>
        <v>76</v>
      </c>
      <c r="M40" s="23">
        <f>(78+88+83+85+90+85)/6</f>
        <v>84.833333333333329</v>
      </c>
      <c r="N40" s="23">
        <f t="shared" si="6"/>
        <v>81.3</v>
      </c>
      <c r="O40" s="19">
        <f t="shared" si="1"/>
        <v>75.960000000000008</v>
      </c>
      <c r="P40" s="21"/>
      <c r="Q40" s="12" t="s">
        <v>281</v>
      </c>
    </row>
    <row r="41" spans="1:17" ht="20.100000000000001" customHeight="1">
      <c r="A41" s="12">
        <v>40</v>
      </c>
      <c r="B41" s="12" t="s">
        <v>158</v>
      </c>
      <c r="C41" s="12" t="s">
        <v>159</v>
      </c>
      <c r="D41" s="12" t="s">
        <v>160</v>
      </c>
      <c r="E41" s="12" t="s">
        <v>161</v>
      </c>
      <c r="F41" s="12" t="s">
        <v>38</v>
      </c>
      <c r="G41" s="12" t="s">
        <v>51</v>
      </c>
      <c r="H41" s="12" t="s">
        <v>162</v>
      </c>
      <c r="I41" s="12" t="s">
        <v>156</v>
      </c>
      <c r="J41" s="12" t="s">
        <v>163</v>
      </c>
      <c r="K41" s="12">
        <f t="shared" si="5"/>
        <v>76.599999999999994</v>
      </c>
      <c r="L41" s="23">
        <f>(67+65+53)/3</f>
        <v>61.666666666666664</v>
      </c>
      <c r="M41" s="23">
        <f>(90+90+93+80+60+80)/6</f>
        <v>82.166666666666671</v>
      </c>
      <c r="N41" s="23">
        <f t="shared" si="6"/>
        <v>73.966666666666669</v>
      </c>
      <c r="O41" s="19">
        <f t="shared" si="1"/>
        <v>75.546666666666667</v>
      </c>
      <c r="P41" s="21"/>
      <c r="Q41" s="12" t="s">
        <v>268</v>
      </c>
    </row>
    <row r="42" spans="1:17" ht="20.100000000000001" customHeight="1">
      <c r="A42" s="12">
        <v>41</v>
      </c>
      <c r="B42" s="12" t="s">
        <v>205</v>
      </c>
      <c r="C42" s="12" t="s">
        <v>159</v>
      </c>
      <c r="D42" s="12" t="s">
        <v>206</v>
      </c>
      <c r="E42" s="12" t="s">
        <v>207</v>
      </c>
      <c r="F42" s="12" t="s">
        <v>24</v>
      </c>
      <c r="G42" s="12" t="s">
        <v>38</v>
      </c>
      <c r="H42" s="12" t="s">
        <v>208</v>
      </c>
      <c r="I42" s="12" t="s">
        <v>156</v>
      </c>
      <c r="J42" s="12" t="s">
        <v>204</v>
      </c>
      <c r="K42" s="12">
        <f t="shared" si="5"/>
        <v>69.400000000000006</v>
      </c>
      <c r="L42" s="23">
        <f>(80+65+73)/3</f>
        <v>72.666666666666671</v>
      </c>
      <c r="M42" s="23">
        <f>(93+86+89+82+80+85)/6</f>
        <v>85.833333333333329</v>
      </c>
      <c r="N42" s="23">
        <f t="shared" si="6"/>
        <v>80.566666666666663</v>
      </c>
      <c r="O42" s="19">
        <f t="shared" si="1"/>
        <v>73.866666666666674</v>
      </c>
      <c r="P42" s="21"/>
      <c r="Q42" s="12" t="s">
        <v>269</v>
      </c>
    </row>
    <row r="43" spans="1:17" ht="20.100000000000001" customHeight="1">
      <c r="A43" s="12">
        <v>42</v>
      </c>
      <c r="B43" s="12" t="s">
        <v>190</v>
      </c>
      <c r="C43" s="12" t="s">
        <v>159</v>
      </c>
      <c r="D43" s="12" t="s">
        <v>191</v>
      </c>
      <c r="E43" s="12" t="s">
        <v>192</v>
      </c>
      <c r="F43" s="12" t="s">
        <v>25</v>
      </c>
      <c r="G43" s="12" t="s">
        <v>110</v>
      </c>
      <c r="H43" s="12" t="s">
        <v>193</v>
      </c>
      <c r="I43" s="12" t="s">
        <v>156</v>
      </c>
      <c r="J43" s="12" t="s">
        <v>194</v>
      </c>
      <c r="K43" s="12">
        <f t="shared" si="5"/>
        <v>70</v>
      </c>
      <c r="L43" s="23">
        <f>(80+65+87)/3</f>
        <v>77.333333333333329</v>
      </c>
      <c r="M43" s="23">
        <f>(86+86+87+79+65+80)/6</f>
        <v>80.5</v>
      </c>
      <c r="N43" s="23">
        <f t="shared" si="6"/>
        <v>79.233333333333334</v>
      </c>
      <c r="O43" s="19">
        <f t="shared" si="1"/>
        <v>73.693333333333328</v>
      </c>
      <c r="P43" s="21"/>
      <c r="Q43" s="12" t="s">
        <v>282</v>
      </c>
    </row>
    <row r="44" spans="1:17" ht="20.100000000000001" customHeight="1">
      <c r="A44" s="12">
        <v>43</v>
      </c>
      <c r="B44" s="12" t="s">
        <v>200</v>
      </c>
      <c r="C44" s="12" t="s">
        <v>159</v>
      </c>
      <c r="D44" s="12" t="s">
        <v>201</v>
      </c>
      <c r="E44" s="12" t="s">
        <v>202</v>
      </c>
      <c r="F44" s="12" t="s">
        <v>93</v>
      </c>
      <c r="G44" s="12" t="s">
        <v>104</v>
      </c>
      <c r="H44" s="12" t="s">
        <v>203</v>
      </c>
      <c r="I44" s="12" t="s">
        <v>156</v>
      </c>
      <c r="J44" s="12" t="s">
        <v>204</v>
      </c>
      <c r="K44" s="12">
        <f t="shared" si="5"/>
        <v>69.400000000000006</v>
      </c>
      <c r="L44" s="23">
        <f>(87+75+73)/3</f>
        <v>78.333333333333329</v>
      </c>
      <c r="M44" s="23">
        <f>(85+85+85+84+70+75)/6</f>
        <v>80.666666666666671</v>
      </c>
      <c r="N44" s="23">
        <f t="shared" si="6"/>
        <v>79.733333333333334</v>
      </c>
      <c r="O44" s="19">
        <f t="shared" si="1"/>
        <v>73.533333333333331</v>
      </c>
      <c r="P44" s="21"/>
      <c r="Q44" s="12" t="s">
        <v>269</v>
      </c>
    </row>
    <row r="45" spans="1:17" ht="20.100000000000001" customHeight="1">
      <c r="A45" s="12">
        <v>44</v>
      </c>
      <c r="B45" s="12" t="s">
        <v>184</v>
      </c>
      <c r="C45" s="12" t="s">
        <v>159</v>
      </c>
      <c r="D45" s="12" t="s">
        <v>185</v>
      </c>
      <c r="E45" s="12" t="s">
        <v>92</v>
      </c>
      <c r="F45" s="12" t="s">
        <v>51</v>
      </c>
      <c r="G45" s="12" t="s">
        <v>104</v>
      </c>
      <c r="H45" s="12" t="s">
        <v>177</v>
      </c>
      <c r="I45" s="12" t="s">
        <v>156</v>
      </c>
      <c r="J45" s="12" t="s">
        <v>183</v>
      </c>
      <c r="K45" s="12">
        <f t="shared" si="5"/>
        <v>71.400000000000006</v>
      </c>
      <c r="L45" s="23">
        <f>(77+65+67)/3</f>
        <v>69.666666666666671</v>
      </c>
      <c r="M45" s="23">
        <f>(75+84+88+85+65+85)/6</f>
        <v>80.333333333333329</v>
      </c>
      <c r="N45" s="23">
        <f t="shared" si="6"/>
        <v>76.066666666666663</v>
      </c>
      <c r="O45" s="19">
        <f t="shared" si="1"/>
        <v>73.266666666666666</v>
      </c>
      <c r="P45" s="21"/>
      <c r="Q45" s="12" t="s">
        <v>269</v>
      </c>
    </row>
    <row r="46" spans="1:17" ht="20.100000000000001" customHeight="1">
      <c r="A46" s="12">
        <v>45</v>
      </c>
      <c r="B46" s="12" t="s">
        <v>179</v>
      </c>
      <c r="C46" s="12" t="s">
        <v>159</v>
      </c>
      <c r="D46" s="12" t="s">
        <v>180</v>
      </c>
      <c r="E46" s="12" t="s">
        <v>181</v>
      </c>
      <c r="F46" s="12" t="s">
        <v>51</v>
      </c>
      <c r="G46" s="12" t="s">
        <v>61</v>
      </c>
      <c r="H46" s="12" t="s">
        <v>182</v>
      </c>
      <c r="I46" s="12" t="s">
        <v>156</v>
      </c>
      <c r="J46" s="12" t="s">
        <v>183</v>
      </c>
      <c r="K46" s="12">
        <f t="shared" si="5"/>
        <v>71.400000000000006</v>
      </c>
      <c r="L46" s="23">
        <f>(87+70+70)/3</f>
        <v>75.666666666666671</v>
      </c>
      <c r="M46" s="23">
        <f>(82+87+86+80+40+70)/6</f>
        <v>74.166666666666671</v>
      </c>
      <c r="N46" s="23">
        <f t="shared" si="6"/>
        <v>74.766666666666666</v>
      </c>
      <c r="O46" s="19">
        <f t="shared" si="1"/>
        <v>72.74666666666667</v>
      </c>
      <c r="P46" s="21"/>
      <c r="Q46" s="12" t="s">
        <v>269</v>
      </c>
    </row>
    <row r="47" spans="1:17" ht="25.5" customHeight="1">
      <c r="A47" s="12">
        <v>46</v>
      </c>
      <c r="B47" s="12" t="s">
        <v>73</v>
      </c>
      <c r="C47" s="22" t="s">
        <v>14</v>
      </c>
      <c r="D47" s="12" t="s">
        <v>74</v>
      </c>
      <c r="E47" s="16" t="s">
        <v>75</v>
      </c>
      <c r="F47" s="12" t="s">
        <v>76</v>
      </c>
      <c r="G47" s="12" t="s">
        <v>61</v>
      </c>
      <c r="H47" s="12" t="s">
        <v>77</v>
      </c>
      <c r="I47" s="12" t="s">
        <v>78</v>
      </c>
      <c r="J47" s="12" t="s">
        <v>79</v>
      </c>
      <c r="K47" s="12">
        <f t="shared" ref="K47:K54" si="7">J47/5</f>
        <v>77.2</v>
      </c>
      <c r="L47" s="23">
        <v>88</v>
      </c>
      <c r="M47" s="23">
        <f>(75+75+81)/3</f>
        <v>77</v>
      </c>
      <c r="N47" s="23">
        <f t="shared" ref="N47:N51" si="8">(L47*0.4+M47*0.6)</f>
        <v>81.400000000000006</v>
      </c>
      <c r="O47" s="19">
        <f t="shared" si="1"/>
        <v>78.88</v>
      </c>
      <c r="P47" s="21"/>
      <c r="Q47" s="12"/>
    </row>
    <row r="48" spans="1:17" ht="20.100000000000001" customHeight="1">
      <c r="A48" s="12">
        <v>47</v>
      </c>
      <c r="B48" s="12" t="s">
        <v>90</v>
      </c>
      <c r="C48" s="22" t="s">
        <v>14</v>
      </c>
      <c r="D48" s="12" t="s">
        <v>91</v>
      </c>
      <c r="E48" s="12" t="s">
        <v>92</v>
      </c>
      <c r="F48" s="12" t="s">
        <v>31</v>
      </c>
      <c r="G48" s="12" t="s">
        <v>93</v>
      </c>
      <c r="H48" s="12" t="s">
        <v>94</v>
      </c>
      <c r="I48" s="12" t="s">
        <v>19</v>
      </c>
      <c r="J48" s="12" t="s">
        <v>95</v>
      </c>
      <c r="K48" s="12">
        <f t="shared" si="7"/>
        <v>76.400000000000006</v>
      </c>
      <c r="L48" s="23">
        <v>81</v>
      </c>
      <c r="M48" s="23">
        <f>(75+75+73)/3</f>
        <v>74.333333333333329</v>
      </c>
      <c r="N48" s="23">
        <f t="shared" si="8"/>
        <v>77</v>
      </c>
      <c r="O48" s="19">
        <f t="shared" si="1"/>
        <v>76.64</v>
      </c>
      <c r="P48" s="21"/>
      <c r="Q48" s="12"/>
    </row>
    <row r="49" spans="1:17" ht="20.100000000000001" customHeight="1">
      <c r="A49" s="12">
        <v>48</v>
      </c>
      <c r="B49" s="12" t="s">
        <v>80</v>
      </c>
      <c r="C49" s="22" t="s">
        <v>14</v>
      </c>
      <c r="D49" s="12" t="s">
        <v>81</v>
      </c>
      <c r="E49" s="12" t="s">
        <v>82</v>
      </c>
      <c r="F49" s="12" t="s">
        <v>24</v>
      </c>
      <c r="G49" s="12" t="s">
        <v>66</v>
      </c>
      <c r="H49" s="12" t="s">
        <v>83</v>
      </c>
      <c r="I49" s="12" t="s">
        <v>84</v>
      </c>
      <c r="J49" s="12" t="s">
        <v>85</v>
      </c>
      <c r="K49" s="12">
        <f t="shared" si="7"/>
        <v>77</v>
      </c>
      <c r="L49" s="23">
        <v>73</v>
      </c>
      <c r="M49" s="23">
        <f>(78+72+75)/3</f>
        <v>75</v>
      </c>
      <c r="N49" s="23">
        <f t="shared" si="8"/>
        <v>74.2</v>
      </c>
      <c r="O49" s="19">
        <f t="shared" si="1"/>
        <v>75.88</v>
      </c>
      <c r="P49" s="21"/>
      <c r="Q49" s="12"/>
    </row>
    <row r="50" spans="1:17" ht="20.100000000000001" customHeight="1">
      <c r="A50" s="12">
        <v>49</v>
      </c>
      <c r="B50" s="12" t="s">
        <v>68</v>
      </c>
      <c r="C50" s="22" t="s">
        <v>14</v>
      </c>
      <c r="D50" s="12" t="s">
        <v>69</v>
      </c>
      <c r="E50" s="12" t="s">
        <v>70</v>
      </c>
      <c r="F50" s="12" t="s">
        <v>44</v>
      </c>
      <c r="G50" s="12" t="s">
        <v>18</v>
      </c>
      <c r="H50" s="12" t="s">
        <v>53</v>
      </c>
      <c r="I50" s="12" t="s">
        <v>71</v>
      </c>
      <c r="J50" s="12" t="s">
        <v>72</v>
      </c>
      <c r="K50" s="12">
        <f t="shared" si="7"/>
        <v>78</v>
      </c>
      <c r="L50" s="23">
        <v>71</v>
      </c>
      <c r="M50" s="23">
        <f>(72+72+72)/3</f>
        <v>72</v>
      </c>
      <c r="N50" s="23">
        <f t="shared" si="8"/>
        <v>71.599999999999994</v>
      </c>
      <c r="O50" s="19">
        <f t="shared" si="1"/>
        <v>75.44</v>
      </c>
      <c r="P50" s="21"/>
      <c r="Q50" s="12"/>
    </row>
    <row r="51" spans="1:17" ht="20.100000000000001" customHeight="1">
      <c r="A51" s="12">
        <v>50</v>
      </c>
      <c r="B51" s="12" t="s">
        <v>86</v>
      </c>
      <c r="C51" s="22" t="s">
        <v>14</v>
      </c>
      <c r="D51" s="12" t="s">
        <v>87</v>
      </c>
      <c r="E51" s="12" t="s">
        <v>88</v>
      </c>
      <c r="F51" s="12" t="s">
        <v>44</v>
      </c>
      <c r="G51" s="12" t="s">
        <v>24</v>
      </c>
      <c r="H51" s="12" t="s">
        <v>32</v>
      </c>
      <c r="I51" s="12" t="s">
        <v>84</v>
      </c>
      <c r="J51" s="12" t="s">
        <v>89</v>
      </c>
      <c r="K51" s="12">
        <f t="shared" si="7"/>
        <v>76.8</v>
      </c>
      <c r="L51" s="23">
        <v>73</v>
      </c>
      <c r="M51" s="23">
        <f>(78+72+70)/3</f>
        <v>73.333333333333329</v>
      </c>
      <c r="N51" s="23">
        <f t="shared" si="8"/>
        <v>73.199999999999989</v>
      </c>
      <c r="O51" s="19">
        <f t="shared" si="1"/>
        <v>75.36</v>
      </c>
      <c r="P51" s="21"/>
      <c r="Q51" s="12"/>
    </row>
    <row r="52" spans="1:17" ht="20.100000000000001" customHeight="1">
      <c r="A52" s="12">
        <v>51</v>
      </c>
      <c r="B52" s="12" t="s">
        <v>118</v>
      </c>
      <c r="C52" s="12" t="s">
        <v>107</v>
      </c>
      <c r="D52" s="12" t="s">
        <v>119</v>
      </c>
      <c r="E52" s="12" t="s">
        <v>65</v>
      </c>
      <c r="F52" s="12" t="s">
        <v>24</v>
      </c>
      <c r="G52" s="12" t="s">
        <v>9</v>
      </c>
      <c r="H52" s="12" t="s">
        <v>120</v>
      </c>
      <c r="I52" s="12" t="s">
        <v>121</v>
      </c>
      <c r="J52" s="12" t="s">
        <v>47</v>
      </c>
      <c r="K52" s="12">
        <f t="shared" si="7"/>
        <v>80.599999999999994</v>
      </c>
      <c r="L52" s="9">
        <v>80</v>
      </c>
      <c r="M52" s="9">
        <v>78.3</v>
      </c>
      <c r="N52" s="9">
        <v>78.98</v>
      </c>
      <c r="O52" s="19">
        <f t="shared" si="1"/>
        <v>79.951999999999998</v>
      </c>
      <c r="P52" s="21"/>
      <c r="Q52" s="12"/>
    </row>
    <row r="53" spans="1:17" ht="20.100000000000001" customHeight="1">
      <c r="A53" s="12">
        <v>52</v>
      </c>
      <c r="B53" s="12" t="s">
        <v>186</v>
      </c>
      <c r="C53" s="12" t="s">
        <v>159</v>
      </c>
      <c r="D53" s="12" t="s">
        <v>187</v>
      </c>
      <c r="E53" s="12" t="s">
        <v>286</v>
      </c>
      <c r="F53" s="12" t="s">
        <v>76</v>
      </c>
      <c r="G53" s="12" t="s">
        <v>76</v>
      </c>
      <c r="H53" s="12" t="s">
        <v>188</v>
      </c>
      <c r="I53" s="12" t="s">
        <v>156</v>
      </c>
      <c r="J53" s="12" t="s">
        <v>189</v>
      </c>
      <c r="K53" s="12">
        <f t="shared" si="7"/>
        <v>70.599999999999994</v>
      </c>
      <c r="L53" s="23">
        <f>(80+65+67)/3</f>
        <v>70.666666666666671</v>
      </c>
      <c r="M53" s="23">
        <f>(87+85+88+80+45+80)/6</f>
        <v>77.5</v>
      </c>
      <c r="N53" s="23">
        <f>L53*0.4+M53*0.6</f>
        <v>74.766666666666666</v>
      </c>
      <c r="O53" s="19">
        <f t="shared" si="1"/>
        <v>72.266666666666652</v>
      </c>
      <c r="P53" s="21"/>
      <c r="Q53" s="12"/>
    </row>
    <row r="54" spans="1:17" ht="20.100000000000001" customHeight="1">
      <c r="A54" s="12">
        <v>53</v>
      </c>
      <c r="B54" s="12" t="s">
        <v>195</v>
      </c>
      <c r="C54" s="12" t="s">
        <v>159</v>
      </c>
      <c r="D54" s="12" t="s">
        <v>196</v>
      </c>
      <c r="E54" s="12" t="s">
        <v>285</v>
      </c>
      <c r="F54" s="12" t="s">
        <v>104</v>
      </c>
      <c r="G54" s="12" t="s">
        <v>197</v>
      </c>
      <c r="H54" s="12" t="s">
        <v>198</v>
      </c>
      <c r="I54" s="12" t="s">
        <v>156</v>
      </c>
      <c r="J54" s="12" t="s">
        <v>199</v>
      </c>
      <c r="K54" s="12">
        <f t="shared" si="7"/>
        <v>69.599999999999994</v>
      </c>
      <c r="L54" s="23">
        <f>(67+60+60)/3</f>
        <v>62.333333333333336</v>
      </c>
      <c r="M54" s="23">
        <f>(70+80+76+78+70+65)/6</f>
        <v>73.166666666666671</v>
      </c>
      <c r="N54" s="23">
        <f>L54*0.4+M54*0.6</f>
        <v>68.833333333333343</v>
      </c>
      <c r="O54" s="19">
        <f t="shared" si="1"/>
        <v>69.293333333333337</v>
      </c>
      <c r="P54" s="21"/>
      <c r="Q54" s="12"/>
    </row>
  </sheetData>
  <sortState ref="A2:Q24">
    <sortCondition descending="1" ref="O2"/>
  </sortState>
  <phoneticPr fontId="8" type="noConversion"/>
  <pageMargins left="0.74803149606299213" right="0.74803149606299213" top="0.98425196850393704" bottom="0.98425196850393704" header="0.51181102362204722" footer="0.5118110236220472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各专业总名单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2016-03-25T00:44:17Z</cp:lastPrinted>
  <dcterms:created xsi:type="dcterms:W3CDTF">2016-03-02T09:27:00Z</dcterms:created>
  <dcterms:modified xsi:type="dcterms:W3CDTF">2016-03-25T00:45:39Z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</Properties>
</file>